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Users\wguser\Downloads\"/>
    </mc:Choice>
  </mc:AlternateContent>
  <xr:revisionPtr revIDLastSave="0" documentId="8_{104FE792-7DB9-40D5-9C41-5857CF1C0345}" xr6:coauthVersionLast="45" xr6:coauthVersionMax="45" xr10:uidLastSave="{00000000-0000-0000-0000-000000000000}"/>
  <bookViews>
    <workbookView xWindow="-60" yWindow="-60" windowWidth="28920" windowHeight="15840" xr2:uid="{0291D21D-4E7E-465E-9B35-CCCF33713DD4}"/>
  </bookViews>
  <sheets>
    <sheet name="Questionnaire" sheetId="2" r:id="rId1"/>
    <sheet name="Analysis" sheetId="7" r:id="rId2"/>
    <sheet name="Calculations" sheetId="4" state="hidden" r:id="rId3"/>
    <sheet name="Lookups" sheetId="3" state="hidden" r:id="rId4"/>
    <sheet name="Extra" sheetId="6" state="hidden" r:id="rId5"/>
  </sheets>
  <definedNames>
    <definedName name="AverageMonthlyGrossPayrollExpense">Questionnaire!$C$6</definedName>
    <definedName name="AverageMonthlySalaryOfImpacted">Questionnaire!$C$12</definedName>
    <definedName name="CompanyName">Questionnaire!$C$4</definedName>
    <definedName name="CountNotComplete">Calculations!$B$41</definedName>
    <definedName name="DentalInsurance">Questionnaire!$C$28</definedName>
    <definedName name="EmployeesContinuingToPay">Questionnaire!$C$11</definedName>
    <definedName name="EmployeesNotInService">Questionnaire!$C$13</definedName>
    <definedName name="ERC_Eligible">Calculations!$B$18</definedName>
    <definedName name="ERC_HasGT100">Calculations!$B$20</definedName>
    <definedName name="ERC_IfHasGT100">Calculations!$B$21</definedName>
    <definedName name="ERC_IfHasLT100">Calculations!$B$22</definedName>
    <definedName name="ERC_MaxCreditAmount">Calculations!$B$19</definedName>
    <definedName name="ERC_MonthlyCostToMaintainEmployees">Calculations!$B$24</definedName>
    <definedName name="ERC_MonthlyCreditAmount">Calculations!$B$23</definedName>
    <definedName name="FFRC_CostToMaintainEmployees">Calculations!$B$15</definedName>
    <definedName name="FFRC_Eligible">Calculations!$B$10</definedName>
    <definedName name="FFRC_FMLAMaxPayCredit">Calculations!$B$12</definedName>
    <definedName name="FFRC_MonthlyMaxFMLAPayCredit">Calculations!$B$14</definedName>
    <definedName name="FFRC_MonthlyMaxSickLeavePayCredit">Calculations!$B$13</definedName>
    <definedName name="FFRC_SickLeaveMaxPayCredit">Calculations!$B$11</definedName>
    <definedName name="ForeignWages">Questionnaire!$C$34</definedName>
    <definedName name="GrossReceiptsDeclined">Questionnaire!$C$10</definedName>
    <definedName name="GroupHealthCare">Questionnaire!$C$27</definedName>
    <definedName name="IsComplete">Calculations!$B$42</definedName>
    <definedName name="IsRestaurant">Questionnaire!$C$8</definedName>
    <definedName name="LineFeed">Calculations!$B$45</definedName>
    <definedName name="MessageComplete">Calculations!$B$43</definedName>
    <definedName name="MessageNotComplete">Calculations!$B$44</definedName>
    <definedName name="NumberOfEmployees">Questionnaire!$C$5</definedName>
    <definedName name="NumberOfEmployeesCaring">Questionnaire!$C$15</definedName>
    <definedName name="NumberOfEmployeesFMLA">Questionnaire!$C$16</definedName>
    <definedName name="NumberOfEmployeesSick">Questionnaire!$C$14</definedName>
    <definedName name="NumberOfFullTimeEmployeesGT100">Questionnaire!$C$7</definedName>
    <definedName name="OperationsSuspended">Questionnaire!$C$9</definedName>
    <definedName name="Payroll">Questionnaire!$C$25</definedName>
    <definedName name="PTP_Eligible">Calculations!$B$27</definedName>
    <definedName name="PTP_MaximumMonthlyPayrollTaxDeferral">Calculations!$B$28</definedName>
    <definedName name="QualifiedFFCRAWages">Questionnaire!$C$35</definedName>
    <definedName name="SALTAssessed">Questionnaire!$C$30</definedName>
    <definedName name="SBA_AverageMonthlyPayrollSBA">Calculations!$B$6</definedName>
    <definedName name="SBA_LoanEligible">Calculations!$B$4</definedName>
    <definedName name="SBA_MaxLoanAmount">Calculations!$B$7</definedName>
    <definedName name="SBA_PayrollAdjusted">Calculations!$B$5</definedName>
    <definedName name="State1">Questionnaire!$C$18</definedName>
    <definedName name="State2">Questionnaire!$C$19</definedName>
    <definedName name="State3">Questionnaire!$C$20</definedName>
    <definedName name="State4">Questionnaire!$C$21</definedName>
    <definedName name="State5">Questionnaire!$C$22</definedName>
    <definedName name="Subcontractors">Questionnaire!$C$31</definedName>
    <definedName name="UI_State1">Calculations!$A$32</definedName>
    <definedName name="UI_State1Value">Calculations!$B$32</definedName>
    <definedName name="UI_State2">Calculations!$A$33</definedName>
    <definedName name="UI_State2Value">Calculations!$B$33</definedName>
    <definedName name="UI_State3">Calculations!$A$34</definedName>
    <definedName name="UI_State3Value">Calculations!$B$34</definedName>
    <definedName name="UI_State4">Calculations!$A$35</definedName>
    <definedName name="UI_State4Value">Calculations!$B$35</definedName>
    <definedName name="UI_State5">Calculations!$A$36</definedName>
    <definedName name="UI_State5Value">Calculations!$B$36</definedName>
    <definedName name="Version">Calculations!$B$39</definedName>
    <definedName name="VersionText">Calculations!$B$40</definedName>
    <definedName name="WagesOver100K">Questionnaire!$C$33</definedName>
    <definedName name="WorkersCompInsurance">Questionnaire!$C$29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1" i="4" l="1"/>
  <c r="H12" i="2"/>
  <c r="B20" i="4" l="1"/>
  <c r="B28" i="4"/>
  <c r="D10" i="7" s="1"/>
  <c r="G6" i="2" l="1"/>
  <c r="J6" i="2" s="1"/>
  <c r="G15" i="2"/>
  <c r="J15" i="2" s="1"/>
  <c r="I6" i="2" l="1"/>
  <c r="M6" i="2" s="1"/>
  <c r="D6" i="2" s="1"/>
  <c r="I15" i="2"/>
  <c r="M15" i="2" s="1"/>
  <c r="D15" i="2" s="1"/>
  <c r="G11" i="2" l="1"/>
  <c r="J11" i="2" s="1"/>
  <c r="H11" i="2"/>
  <c r="I11" i="2" l="1"/>
  <c r="M11" i="2" s="1"/>
  <c r="D11" i="2" s="1"/>
  <c r="B45" i="4" l="1"/>
  <c r="E8" i="7"/>
  <c r="A32" i="4" l="1"/>
  <c r="B32" i="4" s="1"/>
  <c r="A33" i="4"/>
  <c r="B33" i="4" s="1"/>
  <c r="A34" i="4"/>
  <c r="B34" i="4" s="1"/>
  <c r="A36" i="4"/>
  <c r="B36" i="4" s="1"/>
  <c r="A35" i="4"/>
  <c r="B35" i="4" s="1"/>
  <c r="E10" i="7" l="1"/>
  <c r="A1" i="7"/>
  <c r="H13" i="2"/>
  <c r="G35" i="2" l="1"/>
  <c r="G34" i="2"/>
  <c r="G33" i="2"/>
  <c r="G31" i="2"/>
  <c r="G30" i="2"/>
  <c r="I30" i="2" s="1"/>
  <c r="G29" i="2"/>
  <c r="I29" i="2" s="1"/>
  <c r="G28" i="2"/>
  <c r="I28" i="2" s="1"/>
  <c r="G27" i="2"/>
  <c r="I27" i="2" s="1"/>
  <c r="G25" i="2"/>
  <c r="I25" i="2" s="1"/>
  <c r="G20" i="2"/>
  <c r="I20" i="2" s="1"/>
  <c r="G21" i="2"/>
  <c r="I21" i="2" s="1"/>
  <c r="G22" i="2"/>
  <c r="I22" i="2" s="1"/>
  <c r="G12" i="2"/>
  <c r="G19" i="2"/>
  <c r="I19" i="2" s="1"/>
  <c r="G18" i="2"/>
  <c r="I18" i="2" s="1"/>
  <c r="G16" i="2"/>
  <c r="I16" i="2" s="1"/>
  <c r="G14" i="2"/>
  <c r="I14" i="2" s="1"/>
  <c r="G13" i="2"/>
  <c r="I13" i="2" s="1"/>
  <c r="G10" i="2"/>
  <c r="I10" i="2" s="1"/>
  <c r="G9" i="2"/>
  <c r="I9" i="2" s="1"/>
  <c r="G8" i="2"/>
  <c r="I8" i="2" s="1"/>
  <c r="G7" i="2"/>
  <c r="G5" i="2"/>
  <c r="I5" i="2" s="1"/>
  <c r="I35" i="2" l="1"/>
  <c r="J35" i="2"/>
  <c r="J34" i="2"/>
  <c r="I34" i="2"/>
  <c r="J33" i="2"/>
  <c r="I33" i="2"/>
  <c r="J31" i="2"/>
  <c r="I31" i="2"/>
  <c r="J30" i="2"/>
  <c r="J29" i="2"/>
  <c r="J28" i="2"/>
  <c r="J27" i="2"/>
  <c r="J25" i="2"/>
  <c r="J12" i="2"/>
  <c r="I12" i="2"/>
  <c r="K7" i="2"/>
  <c r="I7" i="2"/>
  <c r="K9" i="2"/>
  <c r="J14" i="2"/>
  <c r="M14" i="2" s="1"/>
  <c r="D14" i="2" s="1"/>
  <c r="J13" i="2"/>
  <c r="M13" i="2" s="1"/>
  <c r="J16" i="2"/>
  <c r="M16" i="2" s="1"/>
  <c r="D16" i="2" s="1"/>
  <c r="L19" i="2"/>
  <c r="M19" i="2" s="1"/>
  <c r="L20" i="2"/>
  <c r="L21" i="2"/>
  <c r="L22" i="2"/>
  <c r="L18" i="2"/>
  <c r="J5" i="2"/>
  <c r="M5" i="2" s="1"/>
  <c r="D5" i="2" s="1"/>
  <c r="K8" i="2"/>
  <c r="M8" i="2" s="1"/>
  <c r="D8" i="2" s="1"/>
  <c r="K10" i="2"/>
  <c r="M10" i="2" s="1"/>
  <c r="D10" i="2" s="1"/>
  <c r="B40" i="4"/>
  <c r="A15" i="7" s="1"/>
  <c r="M12" i="2" l="1"/>
  <c r="D12" i="2" s="1"/>
  <c r="M7" i="2"/>
  <c r="D7" i="2" s="1"/>
  <c r="M22" i="2"/>
  <c r="D22" i="2" s="1"/>
  <c r="M21" i="2"/>
  <c r="D21" i="2" s="1"/>
  <c r="M20" i="2"/>
  <c r="D20" i="2" s="1"/>
  <c r="D19" i="2"/>
  <c r="M18" i="2"/>
  <c r="D18" i="2" s="1"/>
  <c r="M28" i="2"/>
  <c r="D28" i="2" s="1"/>
  <c r="M25" i="2"/>
  <c r="D25" i="2" s="1"/>
  <c r="M35" i="2"/>
  <c r="D35" i="2" s="1"/>
  <c r="M34" i="2"/>
  <c r="D34" i="2" s="1"/>
  <c r="M33" i="2"/>
  <c r="D33" i="2" s="1"/>
  <c r="M31" i="2"/>
  <c r="D31" i="2" s="1"/>
  <c r="M30" i="2"/>
  <c r="D30" i="2" s="1"/>
  <c r="M29" i="2"/>
  <c r="D29" i="2" s="1"/>
  <c r="M27" i="2"/>
  <c r="D27" i="2" s="1"/>
  <c r="D13" i="2"/>
  <c r="M9" i="2"/>
  <c r="D9" i="2" s="1"/>
  <c r="E2" i="2"/>
  <c r="G4" i="2"/>
  <c r="B4" i="4"/>
  <c r="A8" i="7" s="1"/>
  <c r="B18" i="4"/>
  <c r="B10" i="4"/>
  <c r="B5" i="4"/>
  <c r="B8" i="7" l="1"/>
  <c r="B12" i="4"/>
  <c r="B14" i="4" s="1"/>
  <c r="B13" i="7" s="1"/>
  <c r="B11" i="4"/>
  <c r="B10" i="7" s="1"/>
  <c r="B19" i="4"/>
  <c r="C8" i="7"/>
  <c r="B6" i="4"/>
  <c r="I4" i="2"/>
  <c r="M4" i="2" s="1"/>
  <c r="B11" i="7" l="1"/>
  <c r="B13" i="4"/>
  <c r="B22" i="4"/>
  <c r="C10" i="7"/>
  <c r="D4" i="2"/>
  <c r="B41" i="4"/>
  <c r="B23" i="4" l="1"/>
  <c r="B12" i="7"/>
  <c r="B15" i="4"/>
  <c r="E39" i="2"/>
  <c r="B42" i="4"/>
  <c r="B7" i="4"/>
  <c r="A10" i="7" s="1"/>
  <c r="C11" i="7" l="1"/>
  <c r="B24" i="4"/>
  <c r="B3" i="2"/>
  <c r="C1" i="7"/>
</calcChain>
</file>

<file path=xl/sharedStrings.xml><?xml version="1.0" encoding="utf-8"?>
<sst xmlns="http://schemas.openxmlformats.org/spreadsheetml/2006/main" count="322" uniqueCount="277">
  <si>
    <t>CARES ACT Loan</t>
  </si>
  <si>
    <t>Employee Retention Credit</t>
  </si>
  <si>
    <t>Unemployment</t>
  </si>
  <si>
    <t>Family First Corona Virus Response Act  (FFCRA) Credits</t>
  </si>
  <si>
    <t>x</t>
  </si>
  <si>
    <t>CompanyName</t>
  </si>
  <si>
    <t>NumberOfEmployees</t>
  </si>
  <si>
    <t>IsRestaurant</t>
  </si>
  <si>
    <t>Eligible?</t>
  </si>
  <si>
    <t>Max Loan Amount</t>
  </si>
  <si>
    <t>OperationsSuspended</t>
  </si>
  <si>
    <t>GrossReceiptsDeclined</t>
  </si>
  <si>
    <t>Max Credit Amount</t>
  </si>
  <si>
    <t>EmployeesNotInService</t>
  </si>
  <si>
    <t>AverageAnnualSalaryOfImpacted</t>
  </si>
  <si>
    <t>NumberOfEmployeesSick</t>
  </si>
  <si>
    <t>NumberOfEmployeesFMLA</t>
  </si>
  <si>
    <t>State1</t>
  </si>
  <si>
    <t>State2</t>
  </si>
  <si>
    <t>State3</t>
  </si>
  <si>
    <t>State4</t>
  </si>
  <si>
    <t>State5</t>
  </si>
  <si>
    <t>State</t>
  </si>
  <si>
    <t>Unemp Rate</t>
  </si>
  <si>
    <t>Max Weeks of Benefits</t>
  </si>
  <si>
    <t>Total Weekly Benefits</t>
  </si>
  <si>
    <t>Payroll - Salaries &amp; Wages</t>
  </si>
  <si>
    <t>Employee Benefits</t>
  </si>
  <si>
    <t>State or Local Tax Assessed on Compensation</t>
  </si>
  <si>
    <t>Subcontractors</t>
  </si>
  <si>
    <t>Reductions</t>
  </si>
  <si>
    <t>Payroll</t>
  </si>
  <si>
    <t>GroupHealthCare</t>
  </si>
  <si>
    <t>DentalInsurance</t>
  </si>
  <si>
    <t>ForeignWages</t>
  </si>
  <si>
    <t>QualifiedFFCRAWages</t>
  </si>
  <si>
    <t>WorkersCompInsurance</t>
  </si>
  <si>
    <t>SALTAssessed</t>
  </si>
  <si>
    <t>WagesOver100K</t>
  </si>
  <si>
    <t>COVID-19 Business Relief Analysis Questionnaire</t>
  </si>
  <si>
    <t>ALABAMA</t>
  </si>
  <si>
    <t>AL</t>
  </si>
  <si>
    <t>ALASKA</t>
  </si>
  <si>
    <t>AK</t>
  </si>
  <si>
    <t>ARIZONA</t>
  </si>
  <si>
    <t>AZ</t>
  </si>
  <si>
    <t>ARKANSAS</t>
  </si>
  <si>
    <t>AR</t>
  </si>
  <si>
    <t>CALIFORNIA</t>
  </si>
  <si>
    <t>CA</t>
  </si>
  <si>
    <t>COLORADO</t>
  </si>
  <si>
    <t>CO</t>
  </si>
  <si>
    <t>CONNECTICUT</t>
  </si>
  <si>
    <t>CT</t>
  </si>
  <si>
    <t>DELAWARE</t>
  </si>
  <si>
    <t>DE</t>
  </si>
  <si>
    <t>DISTRICT OF COLUMBIA</t>
  </si>
  <si>
    <t>DC</t>
  </si>
  <si>
    <t>FLORIDA</t>
  </si>
  <si>
    <t>FL</t>
  </si>
  <si>
    <t>GEORGIA</t>
  </si>
  <si>
    <t>GA</t>
  </si>
  <si>
    <t>HAWAII</t>
  </si>
  <si>
    <t>HI</t>
  </si>
  <si>
    <t>IDAHO</t>
  </si>
  <si>
    <t>ID</t>
  </si>
  <si>
    <t>ILLINOIS</t>
  </si>
  <si>
    <t>IL</t>
  </si>
  <si>
    <t>INDIANA</t>
  </si>
  <si>
    <t>IN</t>
  </si>
  <si>
    <t>IOWA</t>
  </si>
  <si>
    <t>IA</t>
  </si>
  <si>
    <t>KANSAS</t>
  </si>
  <si>
    <t>KS</t>
  </si>
  <si>
    <t>KENTUCKY</t>
  </si>
  <si>
    <t>KY</t>
  </si>
  <si>
    <t>LOUISIANA</t>
  </si>
  <si>
    <t>LA</t>
  </si>
  <si>
    <t>MAINE</t>
  </si>
  <si>
    <t>ME</t>
  </si>
  <si>
    <t>MARYLAND</t>
  </si>
  <si>
    <t>MD</t>
  </si>
  <si>
    <t>MASSACHUSETTS</t>
  </si>
  <si>
    <t>MA</t>
  </si>
  <si>
    <t>MICHIGAN</t>
  </si>
  <si>
    <t>MI</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</si>
  <si>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</si>
  <si>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</si>
  <si>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</si>
  <si>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</si>
  <si>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</si>
  <si>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</si>
  <si>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</si>
  <si>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</si>
  <si>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</si>
  <si>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</si>
  <si>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</si>
  <si>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</si>
  <si>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</si>
  <si>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</si>
  <si>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</si>
  <si>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</si>
  <si>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</si>
  <si>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</si>
  <si>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</si>
  <si>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</si>
  <si>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</si>
  <si>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</si>
  <si>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</si>
  <si>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</si>
  <si>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OHIO</t>
  </si>
  <si>
    <t>OH</t>
  </si>
  <si>
    <t>OKLAHOMA</t>
  </si>
  <si>
    <t>OK</t>
  </si>
  <si>
    <t>OREGON</t>
  </si>
  <si>
    <t>OR</t>
  </si>
  <si>
    <t>PENNSYLVANIA</t>
  </si>
  <si>
    <t>PA</t>
  </si>
  <si>
    <t>RHODE ISLAND</t>
  </si>
  <si>
    <t>RI</t>
  </si>
  <si>
    <t>SOUTH CAROLINA</t>
  </si>
  <si>
    <t>SC</t>
  </si>
  <si>
    <t>SOUTH DAKOTA</t>
  </si>
  <si>
    <t>SD</t>
  </si>
  <si>
    <t>TENNESSEE</t>
  </si>
  <si>
    <t>TN</t>
  </si>
  <si>
    <t>TEXAS</t>
  </si>
  <si>
    <t>TX</t>
  </si>
  <si>
    <t>UTAH</t>
  </si>
  <si>
    <t>UT</t>
  </si>
  <si>
    <t>VERMONT</t>
  </si>
  <si>
    <t>VT</t>
  </si>
  <si>
    <t>VIRGINIA</t>
  </si>
  <si>
    <t>VA</t>
  </si>
  <si>
    <t>WASHINGTON</t>
  </si>
  <si>
    <t>WA</t>
  </si>
  <si>
    <t>WEST VIRGINIA</t>
  </si>
  <si>
    <t>WV</t>
  </si>
  <si>
    <t>WISCONSIN</t>
  </si>
  <si>
    <t>WI</t>
  </si>
  <si>
    <t>WYOMING</t>
  </si>
  <si>
    <t>WY</t>
  </si>
  <si>
    <t>State Abbr</t>
  </si>
  <si>
    <t>Sick Leave Max Pay/Credit</t>
  </si>
  <si>
    <t>FMLA Max Pay/Credit</t>
  </si>
  <si>
    <t>SBA_LoanEligible</t>
  </si>
  <si>
    <t>SBA_MaxLoanAmount</t>
  </si>
  <si>
    <t>ERC_Eligible</t>
  </si>
  <si>
    <t>FFRC_Eligible</t>
  </si>
  <si>
    <t>FFRC_SickLeaveMaxPayCredit</t>
  </si>
  <si>
    <t>FFRC_FMLAMaxPayCredit</t>
  </si>
  <si>
    <t>UI_State1</t>
  </si>
  <si>
    <t>UI_State1Value</t>
  </si>
  <si>
    <t>UI_State2</t>
  </si>
  <si>
    <t>UI_State2Value</t>
  </si>
  <si>
    <t>UI_State3</t>
  </si>
  <si>
    <t>UI_State3Value</t>
  </si>
  <si>
    <t>UI_State4</t>
  </si>
  <si>
    <t>UI_State4Value</t>
  </si>
  <si>
    <t>UI_State5</t>
  </si>
  <si>
    <t>UI_State5Value</t>
  </si>
  <si>
    <t>Max Weekly Benefits</t>
  </si>
  <si>
    <t>Max DA Allowance</t>
  </si>
  <si>
    <t xml:space="preserve">Is the company a restaurant? (NAICS sector 72 - Accommodation and Food Services sector)
</t>
  </si>
  <si>
    <t xml:space="preserve">Operations have been or will be fully or partially suspended, due to a COVID 19 related shut down order
</t>
  </si>
  <si>
    <t xml:space="preserve">Gross receipts have declined or will decline by more than 50 percent when compared to the same quarter in the prior year
</t>
  </si>
  <si>
    <t xml:space="preserve">If you answered yes to either of the immediately preceding two questions, how many employees are currently not providing services due to one of those reasons, but will continue being paid?
</t>
  </si>
  <si>
    <t xml:space="preserve">Company Name
</t>
  </si>
  <si>
    <t xml:space="preserve">What is the average annual salary for the impacted employees?
</t>
  </si>
  <si>
    <t xml:space="preserve">Number of Employees
</t>
  </si>
  <si>
    <t xml:space="preserve">How many employees are unable to work or telework due to a need for leave due to a quarantine order, sickness, caring for others.
</t>
  </si>
  <si>
    <t xml:space="preserve">How many employees are unable to work or telework due to a child's school or  place of care closing due to COVID 19. 
</t>
  </si>
  <si>
    <t>Please enter the company name</t>
  </si>
  <si>
    <t>Please enter an integer</t>
  </si>
  <si>
    <t>Please enter "Yes" or "No"</t>
  </si>
  <si>
    <t>Payroll Adjusted</t>
  </si>
  <si>
    <t>Is Complete</t>
  </si>
  <si>
    <t>IsComplete</t>
  </si>
  <si>
    <t>Version</t>
  </si>
  <si>
    <t>COVID-19 Business Relief Analysis</t>
  </si>
  <si>
    <t>FFCRA Credits</t>
  </si>
  <si>
    <t>CARES Act Employee Retention Credit</t>
  </si>
  <si>
    <t>Version Text</t>
  </si>
  <si>
    <t>VersionText</t>
  </si>
  <si>
    <t>Is Yes OR No</t>
  </si>
  <si>
    <t>Is US State</t>
  </si>
  <si>
    <t>Is Integer</t>
  </si>
  <si>
    <t>Value</t>
  </si>
  <si>
    <t>Please enter (at least one) full state name or state abbreviation</t>
  </si>
  <si>
    <t>Count Not Complete</t>
  </si>
  <si>
    <t>Is Required</t>
  </si>
  <si>
    <t>SBA Loans</t>
  </si>
  <si>
    <t>CARES Act Unemployment Assistance</t>
  </si>
  <si>
    <t>CARES Act Employer Payroll Tax Payment Deferral</t>
  </si>
  <si>
    <t>Temporary Pandemic Unemployment Assistance program created through December 31, 2020 to provide payment to workers who are not traditionally eligible for benefits (e.g., self-employed, contractors)
Increased benefits by $600 per week for up to four months
Federal funding for the first week of benefits for states that pay workers as soon as they become unemployed
Federal funding for additional benefits for workers who remain unemployed after state coverage is no longer available 
Federal funding to support programs where employers reduce hours instead of laying off workers so that workers receive pro-rated unemployment benefits while they are still partially employed</t>
  </si>
  <si>
    <t>Permits employers to defer payment of the employer portion of Social Security tax (6.2%) that would otherwise be due and payable through December 31, 2020, to a later date
Employers would be required to pay 50% of the deferred amount on or before December 31, 2021 with any remaining amount paid on or before December 31, 2022
Self-employed individuals would be eligible to defer 50% of self-employment Social Security tax payments
Employers who receive a loan under the SBA Paycheck Protection Program and have their indebtedness forgiven are not eligible for the payroll tax deferral</t>
  </si>
  <si>
    <t>Refundable payroll tax credit equal to 100% of required emergency paid sick leave, capped at either $2,000 or $5,110 per employee depending on reason for leave
Refundable payroll tax credit equal to 100% of expanded FMLA, capped at $10,000 per employee 
Payroll tax credits increased by 1) the employer’s share of Medicare tax on emergency paid sick leave and FMLA; and 2) amounts paid by the employer to maintain a group health plan</t>
  </si>
  <si>
    <t>Range Name</t>
  </si>
  <si>
    <t>Validation Text</t>
  </si>
  <si>
    <t>Has Entry</t>
  </si>
  <si>
    <t>Please enter a valid full state name or state abbreviation or remove it</t>
  </si>
  <si>
    <t>Questionnaire is Complete.</t>
  </si>
  <si>
    <t>Questionnaire is either not complete or has validation errors.</t>
  </si>
  <si>
    <t>MessageComplete</t>
  </si>
  <si>
    <t>MessageNotComplete</t>
  </si>
  <si>
    <t>OTHER VARIABLES</t>
  </si>
  <si>
    <t>Message Complete</t>
  </si>
  <si>
    <t>Message Not Complete</t>
  </si>
  <si>
    <t>CountNotComplete</t>
  </si>
  <si>
    <t>Max Weekly Benefits by State</t>
  </si>
  <si>
    <t>Refundable payroll tax credit equal to 50% of qualifying wages paid to employees, plus related healthcare costs, capped at $5,000 per employee
Credit is available to employers whose:
• Operations were fully or partially suspended due to a COVID-19 related government shutdown order, or
• Gross receipts for the quarter were less than 50% of the gross receipts for the same quarter in 2019
Employers receiving a loan under the SBA Paycheck Protection Program are not eligible for this credit
Emergency paid sick leave and FMLA wages paid under the FFCRA are not eligible for this credit</t>
  </si>
  <si>
    <t>•  Group Health Care</t>
  </si>
  <si>
    <t>•  Dental Insurance</t>
  </si>
  <si>
    <t>•  Worker's Comp Insurance</t>
  </si>
  <si>
    <t>•  Wages Over $100k</t>
  </si>
  <si>
    <t>•  Foreign Wages</t>
  </si>
  <si>
    <t>•  Qualified FFCRA Wages</t>
  </si>
  <si>
    <t>Answer the questions below addressing all required fields. Once complete, your responses will be analyzed and presented on the Analysis tab.</t>
  </si>
  <si>
    <t>PTP_Eligible</t>
  </si>
  <si>
    <t>LF</t>
  </si>
  <si>
    <t>1. SBA Loan</t>
  </si>
  <si>
    <t>2. FFCRA Credits</t>
  </si>
  <si>
    <t>3. CARES Act Employee Retention Credit</t>
  </si>
  <si>
    <t>4. CARES Act Employer Payroll Tax Payment Deferral</t>
  </si>
  <si>
    <t>5. CARES Act Unemployment Assistance</t>
  </si>
  <si>
    <t>Cost to Maintain Employees</t>
  </si>
  <si>
    <t xml:space="preserve">1. Company Name
</t>
  </si>
  <si>
    <t xml:space="preserve">2. Number of Employees
</t>
  </si>
  <si>
    <t>EmployeesContinuingToPay</t>
  </si>
  <si>
    <t>Qualifies? YES</t>
  </si>
  <si>
    <t>Monthly Max Sick Leave Pay/Credit</t>
  </si>
  <si>
    <t>Monthly Max FMLA Pay/Credit</t>
  </si>
  <si>
    <t>FFRC_CostToMaintainEmployees</t>
  </si>
  <si>
    <t>FFRC_MonthlyMaxSickLeavePayCredit</t>
  </si>
  <si>
    <t>FFRC_MonthlyMaxFMLAPayCredit</t>
  </si>
  <si>
    <t>Monthly Credit Amount</t>
  </si>
  <si>
    <t>Monthly Cost to Maintain Employees</t>
  </si>
  <si>
    <t>Estimated Monthly Payroll Tax Deferral</t>
  </si>
  <si>
    <t>ERC_MonthlyCreditAmount</t>
  </si>
  <si>
    <t>ERC_MonthlyCostToMaintainEmployees</t>
  </si>
  <si>
    <t>ERC_MaxCreditAmount</t>
  </si>
  <si>
    <t>YES</t>
  </si>
  <si>
    <t>NumberOfEmployeesCaring</t>
  </si>
  <si>
    <t xml:space="preserve"> AverageMonthlyGrossPayrollExpense</t>
  </si>
  <si>
    <t xml:space="preserve">4. Does the company have more than 100 full-time employees?
</t>
  </si>
  <si>
    <t xml:space="preserve">5. Is the company a restaurant? (NAICS sector 72 - Accommodation and Food Services sector)
</t>
  </si>
  <si>
    <t xml:space="preserve">8. If you answered yes to either question 6 or 7, how many employees will you continue paying?
</t>
  </si>
  <si>
    <t>NumberOfFullTimeEmployeesGT100</t>
  </si>
  <si>
    <t xml:space="preserve">10. Of the employees you will continue to pay (from question 8), how many will not be providing services?
</t>
  </si>
  <si>
    <t>14. In what states does the company have employees? (enter at least one but up to five)</t>
  </si>
  <si>
    <t>15. For the period of 4/1/19 through 3/31/20, enter the following:</t>
  </si>
  <si>
    <t xml:space="preserve">6. Have operations been or will they be fully or partially suspended, due to a COVID 19 related shut down order?
</t>
  </si>
  <si>
    <t xml:space="preserve">9. What is the average monthly payroll for employees identified in question 8?
</t>
  </si>
  <si>
    <t xml:space="preserve">11. For work sites that are still operating, how many employees are unable to work or telework because they (themselves) are experiencing COVID-19 symptoms or are subject to a government COVID-19  quarantine or isolation order?
</t>
  </si>
  <si>
    <t xml:space="preserve">13. For work sites that are still operating, how many employees are unable to work or telework due to a child's school or place of care closing due to COVID 19?
</t>
  </si>
  <si>
    <t xml:space="preserve">12. For work sites that are still operating, how many employees are unable to work or telework because they are caring for a family member who is experiencing COVID-19 symptoms or who is subject to a government COVID-19  quarantine or isolation order?
</t>
  </si>
  <si>
    <t>Average Monthly Payroll for SBA</t>
  </si>
  <si>
    <t>More Than 100 Employees</t>
  </si>
  <si>
    <t>If More Than 100 Employees</t>
  </si>
  <si>
    <t>If Less Than 100 Employees</t>
  </si>
  <si>
    <t>SBA_PayrollAdjusted</t>
  </si>
  <si>
    <t>SBA_AverageMonthlyPayrollSBA</t>
  </si>
  <si>
    <t>ERC_HasGT100</t>
  </si>
  <si>
    <t>ERC_IfHasGT100</t>
  </si>
  <si>
    <t>ERC_IfHasLT100</t>
  </si>
  <si>
    <t>Loans offered to small businesses with 500 or fewer employees
Loans are given up to a maximum of the lesser of $10 million, or 2.5 times the average monthly payroll costs including
• wages for employees making under $100,000
• expenses for paid sick leave, healthcare and other benefits during the 1-year period before the date on which the loan was made
Maximum interest rate of 4% and term up to 10 years with no personal guarantee or collateral required. Payments are deferred up to six to 12 months 
Part of this loan may be forgiven and not counted as income to you, if it’s spent during the first eight weeks on specific operating expenses.
o Loan forgiveness is contingent on very specific requirements for maintaining numbers of employees and compensation levels.</t>
  </si>
  <si>
    <t xml:space="preserve">7. Have gross receipts declined or will they decline by more than 50 percent when compared to the same quarter in 2019?
</t>
  </si>
  <si>
    <t>Calculations</t>
  </si>
  <si>
    <t xml:space="preserve">3. Average Monthly Gross Payroll Expense
</t>
  </si>
  <si>
    <t xml:space="preserve">PTP_MaximumMonthlyPayrollTaxDeferral </t>
  </si>
  <si>
    <t>16. Notes/Comments</t>
  </si>
  <si>
    <t>PWH</t>
  </si>
  <si>
    <t>Development</t>
  </si>
  <si>
    <t>PWH - 2020-04-01</t>
  </si>
  <si>
    <t>Pilot; Production Candidate</t>
  </si>
  <si>
    <t>PWH - 2020-03-30</t>
  </si>
  <si>
    <t>Production. Changed text under "SBA Loans" section of Analysis tab to reflect updated loan rate and term.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</si>
</sst>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5" x14ac:knownFonts="1">
    <font>
      <sz val="11"/>
      <color theme="1"/>
      <name val="Calibri"/>
      <family val="2"/>
      <scheme val="minor"/>
    </font>
    <font>
      <b/>
      <sz val="11"/>
      <color theme="0"/>
      <name val="Calibri"/>
      <family val="2"/>
      <scheme val="minor"/>
    </font>
    <font>
      <sz val="11"/>
      <color theme="1"/>
      <name val="Calibri"/>
      <family val="2"/>
      <scheme val="minor"/>
    </font>
    <font>
      <sz val="11"/>
      <color theme="0"/>
      <name val="Calibri"/>
      <family val="2"/>
      <scheme val="minor"/>
    </font>
    <font>
      <b/>
      <sz val="20"/>
      <color theme="0"/>
      <name val="Calibri"/>
      <family val="2"/>
      <scheme val="minor"/>
    </font>
    <font>
      <b/>
      <sz val="11"/>
      <name val="Calibri"/>
      <family val="2"/>
      <scheme val="minor"/>
    </font>
    <font>
      <sz val="11"/>
      <name val="Calibri"/>
      <family val="2"/>
      <scheme val="minor"/>
    </font>
    <font>
      <sz val="11"/>
      <color theme="8" tint="-0.499984740745262"/>
      <name val="Calibri"/>
      <family val="2"/>
      <scheme val="minor"/>
    </font>
    <font>
      <i/>
      <sz val="11"/>
      <color theme="8" tint="-0.499984740745262"/>
      <name val="Calibri"/>
      <family val="2"/>
      <scheme val="minor"/>
    </font>
    <font>
      <sz val="11"/>
      <color theme="7"/>
      <name val="Calibri"/>
      <family val="2"/>
      <scheme val="minor"/>
    </font>
    <font>
      <b/>
      <sz val="11"/>
      <color theme="7"/>
      <name val="Calibri"/>
      <family val="2"/>
      <scheme val="minor"/>
    </font>
    <font>
      <sz val="20"/>
      <color theme="7"/>
      <name val="Calibri"/>
      <family val="2"/>
      <scheme val="minor"/>
    </font>
    <font>
      <i/>
      <sz val="11"/>
      <color theme="2"/>
      <name val="Calibri"/>
      <family val="2"/>
      <scheme val="minor"/>
    </font>
    <font>
      <sz val="8"/>
      <color theme="0" tint="-0.249977111117893"/>
      <name val="Calibri"/>
      <family val="2"/>
      <scheme val="minor"/>
    </font>
    <font>
      <sz val="8"/>
      <color theme="7"/>
      <name val="Trebuchet MS"/>
      <family val="2"/>
    </font>
    <font>
      <sz val="12"/>
      <color theme="7"/>
      <name val="Trebuchet MS"/>
      <family val="2"/>
    </font>
    <font>
      <sz val="12"/>
      <color theme="0"/>
      <name val="Trebuchet MS"/>
      <family val="2"/>
    </font>
    <font>
      <i/>
      <sz val="9"/>
      <color theme="2"/>
      <name val="Calibri"/>
      <family val="2"/>
      <scheme val="minor"/>
    </font>
    <font>
      <i/>
      <sz val="10"/>
      <color theme="7"/>
      <name val="Calibri"/>
      <family val="2"/>
      <scheme val="minor"/>
    </font>
    <font>
      <sz val="10"/>
      <color theme="0"/>
      <name val="Trebuchet MS"/>
      <family val="2"/>
    </font>
    <font>
      <sz val="7.5"/>
      <color theme="7"/>
      <name val="Trebuchet MS"/>
      <family val="2"/>
    </font>
    <font>
      <sz val="14"/>
      <color theme="7"/>
      <name val="Trebuchet MS"/>
      <family val="2"/>
    </font>
    <font>
      <sz val="9"/>
      <color theme="7"/>
      <name val="Calibri"/>
      <family val="2"/>
      <scheme val="minor"/>
    </font>
    <font>
      <sz val="18"/>
      <color rgb="FFED1A3B"/>
      <name val="Trebuchet MS"/>
      <family val="2"/>
    </font>
    <font>
      <sz val="7"/>
      <name val="Trebuchet MS"/>
      <family val="2"/>
    </font>
  </fonts>
  <fills count="10">
    <fill>
      <patternFill patternType="none"/>
    </fill>
    <fill>
      <patternFill patternType="gray125"/>
    </fill>
    <fill>
      <patternFill patternType="solid">
        <fgColor theme="7" tint="4.9989318521683403E-2"/>
        <bgColor indexed="64"/>
      </patternFill>
    </fill>
    <fill>
      <patternFill patternType="solid">
        <fgColor theme="7" tint="0.249977111117893"/>
        <bgColor indexed="64"/>
      </patternFill>
    </fill>
    <fill>
      <patternFill patternType="solid">
        <fgColor theme="7"/>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7" tint="0.499984740745262"/>
        <bgColor indexed="64"/>
      </patternFill>
    </fill>
    <fill>
      <patternFill patternType="solid">
        <fgColor theme="7" tint="0.34998626667073579"/>
        <bgColor indexed="64"/>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theme="7" tint="0.24994659260841701"/>
      </left>
      <right style="thin">
        <color theme="7" tint="0.24994659260841701"/>
      </right>
      <top/>
      <bottom style="thin">
        <color theme="7" tint="0.24994659260841701"/>
      </bottom>
      <diagonal/>
    </border>
    <border>
      <left style="thin">
        <color theme="7" tint="0.24994659260841701"/>
      </left>
      <right style="thin">
        <color theme="7" tint="0.24994659260841701"/>
      </right>
      <top/>
      <bottom/>
      <diagonal/>
    </border>
  </borders>
  <cellStyleXfs count="2">
    <xf numFmtId="0" fontId="0" fillId="0" borderId="0"/>
    <xf numFmtId="43" fontId="2" fillId="0" borderId="0" applyFont="0" applyFill="0" applyBorder="0" applyAlignment="0" applyProtection="0"/>
  </cellStyleXfs>
  <cellXfs count="95">
    <xf numFmtId="0" fontId="0" fillId="0" borderId="0" xfId="0"/>
    <xf numFmtId="0" fontId="6" fillId="0" borderId="0" xfId="0" applyFont="1" applyFill="1"/>
    <xf numFmtId="0" fontId="5" fillId="0" borderId="0" xfId="0" applyFont="1" applyFill="1" applyAlignment="1">
      <alignment horizontal="center"/>
    </xf>
    <xf numFmtId="0" fontId="7" fillId="0" borderId="0" xfId="0" applyFont="1" applyFill="1"/>
    <xf numFmtId="0" fontId="9" fillId="0" borderId="0" xfId="0" applyFont="1"/>
    <xf numFmtId="0" fontId="9" fillId="0" borderId="0" xfId="0" applyFont="1" applyAlignment="1">
      <alignment vertical="top"/>
    </xf>
    <xf numFmtId="0" fontId="3" fillId="2" borderId="0" xfId="0" applyFont="1" applyFill="1" applyAlignment="1">
      <alignment horizontal="center" vertical="top" wrapText="1"/>
    </xf>
    <xf numFmtId="0" fontId="4" fillId="4" borderId="0" xfId="0" applyFont="1" applyFill="1" applyBorder="1" applyAlignment="1">
      <alignment horizontal="left" vertical="center" indent="1"/>
    </xf>
    <xf numFmtId="0" fontId="1" fillId="4" borderId="0" xfId="0" applyFont="1" applyFill="1" applyBorder="1" applyAlignment="1">
      <alignment vertical="center"/>
    </xf>
    <xf numFmtId="0" fontId="3" fillId="4" borderId="0" xfId="0" applyFont="1" applyFill="1" applyBorder="1" applyAlignment="1">
      <alignment vertical="center"/>
    </xf>
    <xf numFmtId="0" fontId="9" fillId="0" borderId="0" xfId="0" applyFont="1" applyAlignment="1">
      <alignment vertical="center"/>
    </xf>
    <xf numFmtId="0" fontId="9" fillId="0" borderId="0" xfId="0" applyFont="1" applyAlignment="1">
      <alignment horizontal="left" vertical="center" indent="1"/>
    </xf>
    <xf numFmtId="0" fontId="10" fillId="5" borderId="1" xfId="0" applyFont="1" applyFill="1" applyBorder="1" applyAlignment="1">
      <alignment horizontal="center" vertical="center"/>
    </xf>
    <xf numFmtId="0" fontId="8" fillId="0" borderId="0" xfId="0" applyFont="1" applyFill="1" applyAlignment="1">
      <alignment horizontal="left" vertical="center"/>
    </xf>
    <xf numFmtId="0" fontId="6" fillId="0" borderId="0" xfId="0" applyFont="1" applyFill="1" applyAlignment="1">
      <alignment vertical="center"/>
    </xf>
    <xf numFmtId="0" fontId="7" fillId="0" borderId="0" xfId="0" applyFont="1" applyFill="1" applyAlignment="1">
      <alignment vertical="center"/>
    </xf>
    <xf numFmtId="164" fontId="10" fillId="7" borderId="1" xfId="1" applyNumberFormat="1" applyFont="1" applyFill="1" applyBorder="1" applyAlignment="1">
      <alignment vertical="center"/>
    </xf>
    <xf numFmtId="0" fontId="6" fillId="0" borderId="0" xfId="0" applyFont="1" applyFill="1" applyAlignment="1">
      <alignment horizontal="left" vertical="center" indent="1"/>
    </xf>
    <xf numFmtId="164" fontId="10" fillId="7" borderId="1" xfId="1" applyNumberFormat="1" applyFont="1" applyFill="1" applyBorder="1" applyAlignment="1">
      <alignment horizontal="left" vertical="center" indent="1"/>
    </xf>
    <xf numFmtId="0" fontId="9" fillId="0" borderId="0" xfId="0" applyFont="1" applyFill="1" applyBorder="1" applyAlignment="1">
      <alignment horizontal="left" vertical="center" indent="1"/>
    </xf>
    <xf numFmtId="0" fontId="10" fillId="5" borderId="2"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indent="1"/>
    </xf>
    <xf numFmtId="0" fontId="9" fillId="0" borderId="1" xfId="0" applyFont="1" applyBorder="1" applyAlignment="1">
      <alignment horizontal="left" indent="2"/>
    </xf>
    <xf numFmtId="0" fontId="9" fillId="0" borderId="1" xfId="0" applyFont="1" applyBorder="1" applyAlignment="1">
      <alignment horizontal="left" vertical="center" wrapText="1" indent="1"/>
    </xf>
    <xf numFmtId="2" fontId="10" fillId="5" borderId="1" xfId="0" applyNumberFormat="1" applyFont="1" applyFill="1" applyBorder="1" applyAlignment="1">
      <alignment horizontal="center" vertical="center"/>
    </xf>
    <xf numFmtId="2" fontId="13" fillId="0" borderId="0" xfId="0" applyNumberFormat="1" applyFont="1" applyAlignment="1">
      <alignment horizontal="center" vertical="center"/>
    </xf>
    <xf numFmtId="164" fontId="10" fillId="7" borderId="1" xfId="1" applyNumberFormat="1" applyFont="1" applyFill="1" applyBorder="1" applyAlignment="1">
      <alignment horizontal="center" vertical="center"/>
    </xf>
    <xf numFmtId="0" fontId="11" fillId="0" borderId="0" xfId="0" applyFont="1" applyAlignment="1">
      <alignment horizontal="center" vertical="center"/>
    </xf>
    <xf numFmtId="1" fontId="13" fillId="0" borderId="0" xfId="0" applyNumberFormat="1" applyFont="1" applyAlignment="1">
      <alignment horizontal="center" vertical="center"/>
    </xf>
    <xf numFmtId="0" fontId="17" fillId="0" borderId="1" xfId="0" applyFont="1" applyBorder="1" applyAlignment="1">
      <alignment horizontal="left" vertical="center" indent="1"/>
    </xf>
    <xf numFmtId="0" fontId="17" fillId="0" borderId="1" xfId="0" applyFont="1" applyBorder="1" applyAlignment="1">
      <alignment horizontal="left" vertical="center" wrapText="1" indent="1"/>
    </xf>
    <xf numFmtId="0" fontId="9" fillId="0" borderId="6" xfId="0" applyFont="1" applyBorder="1" applyAlignment="1">
      <alignment horizontal="center" vertical="center"/>
    </xf>
    <xf numFmtId="0" fontId="12" fillId="0" borderId="6" xfId="0" applyFont="1" applyBorder="1" applyAlignment="1">
      <alignment horizontal="left" vertical="center" indent="1"/>
    </xf>
    <xf numFmtId="0" fontId="8" fillId="0" borderId="6" xfId="0" applyFont="1" applyFill="1" applyBorder="1" applyAlignment="1">
      <alignment horizontal="left" vertical="center"/>
    </xf>
    <xf numFmtId="0" fontId="9" fillId="4" borderId="6" xfId="0" applyFont="1" applyFill="1" applyBorder="1"/>
    <xf numFmtId="0" fontId="9" fillId="4" borderId="6" xfId="0" applyFont="1" applyFill="1" applyBorder="1" applyAlignment="1">
      <alignment vertical="center"/>
    </xf>
    <xf numFmtId="0" fontId="9" fillId="4" borderId="6" xfId="0" applyFont="1" applyFill="1" applyBorder="1" applyAlignment="1">
      <alignment horizontal="center"/>
    </xf>
    <xf numFmtId="0" fontId="8" fillId="4" borderId="6" xfId="0" applyFont="1" applyFill="1" applyBorder="1" applyAlignment="1">
      <alignment horizontal="left" vertical="top"/>
    </xf>
    <xf numFmtId="0" fontId="12" fillId="0" borderId="6" xfId="0" applyFont="1" applyBorder="1" applyAlignment="1">
      <alignment horizontal="left" vertical="center" wrapText="1" indent="1"/>
    </xf>
    <xf numFmtId="0" fontId="8" fillId="0" borderId="6" xfId="0" applyFont="1" applyFill="1" applyBorder="1" applyAlignment="1">
      <alignment horizontal="left" vertical="top"/>
    </xf>
    <xf numFmtId="0" fontId="9" fillId="0" borderId="6" xfId="0" applyFont="1" applyBorder="1" applyAlignment="1">
      <alignment horizontal="right" vertical="center"/>
    </xf>
    <xf numFmtId="0" fontId="9" fillId="4" borderId="6" xfId="0" applyFont="1" applyFill="1" applyBorder="1" applyAlignment="1">
      <alignment horizontal="right" vertical="center"/>
    </xf>
    <xf numFmtId="0" fontId="9" fillId="4" borderId="6" xfId="0" applyFont="1" applyFill="1" applyBorder="1" applyAlignment="1">
      <alignment horizontal="center" vertical="center"/>
    </xf>
    <xf numFmtId="0" fontId="22" fillId="6" borderId="6" xfId="0" applyFont="1" applyFill="1" applyBorder="1" applyAlignment="1">
      <alignment horizontal="center" vertical="top"/>
    </xf>
    <xf numFmtId="0" fontId="22" fillId="6" borderId="6" xfId="0" applyFont="1" applyFill="1" applyBorder="1" applyAlignment="1">
      <alignment horizontal="center" vertical="top" wrapText="1"/>
    </xf>
    <xf numFmtId="0" fontId="22" fillId="6" borderId="6" xfId="0" applyFont="1" applyFill="1" applyBorder="1" applyAlignment="1">
      <alignment vertical="top"/>
    </xf>
    <xf numFmtId="0" fontId="9" fillId="8" borderId="6" xfId="0" applyFont="1" applyFill="1" applyBorder="1" applyAlignment="1">
      <alignment horizontal="center" vertical="center"/>
    </xf>
    <xf numFmtId="0" fontId="10" fillId="0" borderId="6" xfId="0" applyFont="1" applyBorder="1" applyAlignment="1">
      <alignment horizontal="center" vertical="center"/>
    </xf>
    <xf numFmtId="1" fontId="10" fillId="7" borderId="1" xfId="1" applyNumberFormat="1" applyFont="1" applyFill="1" applyBorder="1" applyAlignment="1">
      <alignment horizontal="center" vertical="center"/>
    </xf>
    <xf numFmtId="2" fontId="9" fillId="5" borderId="1" xfId="0" applyNumberFormat="1" applyFont="1" applyFill="1" applyBorder="1" applyAlignment="1">
      <alignment vertical="center"/>
    </xf>
    <xf numFmtId="0" fontId="15" fillId="0" borderId="0" xfId="0" applyFont="1" applyAlignment="1">
      <alignment vertical="center"/>
    </xf>
    <xf numFmtId="0" fontId="21" fillId="0" borderId="0" xfId="0" applyFont="1" applyAlignment="1">
      <alignment vertical="center"/>
    </xf>
    <xf numFmtId="0" fontId="9" fillId="0" borderId="0" xfId="0" applyFont="1" applyAlignment="1">
      <alignment horizontal="left" wrapText="1" indent="1"/>
    </xf>
    <xf numFmtId="0" fontId="1" fillId="8" borderId="0" xfId="0" applyFont="1" applyFill="1" applyAlignment="1">
      <alignment horizontal="left" vertical="center" indent="1"/>
    </xf>
    <xf numFmtId="0" fontId="1" fillId="3" borderId="7" xfId="0" applyFont="1" applyFill="1" applyBorder="1" applyAlignment="1">
      <alignment horizontal="left" vertical="center" indent="1"/>
    </xf>
    <xf numFmtId="0" fontId="3" fillId="3" borderId="7" xfId="0" applyFont="1" applyFill="1" applyBorder="1" applyAlignment="1">
      <alignment vertical="center"/>
    </xf>
    <xf numFmtId="0" fontId="10" fillId="5" borderId="2"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protection locked="0"/>
    </xf>
    <xf numFmtId="164" fontId="10" fillId="5" borderId="1" xfId="1" applyNumberFormat="1" applyFont="1" applyFill="1" applyBorder="1" applyAlignment="1" applyProtection="1">
      <alignment horizontal="right" vertical="center"/>
      <protection locked="0"/>
    </xf>
    <xf numFmtId="164" fontId="10" fillId="5" borderId="5" xfId="1" applyNumberFormat="1" applyFont="1" applyFill="1" applyBorder="1" applyAlignment="1" applyProtection="1">
      <alignment horizontal="right" vertical="center"/>
      <protection locked="0"/>
    </xf>
    <xf numFmtId="2" fontId="13" fillId="0" borderId="0" xfId="0" applyNumberFormat="1" applyFont="1" applyAlignment="1">
      <alignment horizontal="left" wrapText="1"/>
    </xf>
    <xf numFmtId="0" fontId="6" fillId="0" borderId="0" xfId="0" applyFont="1" applyFill="1" applyAlignment="1">
      <alignment horizontal="left" indent="1"/>
    </xf>
    <xf numFmtId="0" fontId="9" fillId="0" borderId="0" xfId="0" applyFont="1" applyAlignment="1">
      <alignment horizontal="left" vertical="top" wrapText="1"/>
    </xf>
    <xf numFmtId="0" fontId="19" fillId="3" borderId="9" xfId="0" applyFont="1" applyFill="1" applyBorder="1" applyAlignment="1">
      <alignment horizontal="center" wrapText="1"/>
    </xf>
    <xf numFmtId="0" fontId="16" fillId="3" borderId="9" xfId="0" applyFont="1" applyFill="1" applyBorder="1" applyAlignment="1">
      <alignment horizontal="center" wrapText="1"/>
    </xf>
    <xf numFmtId="0" fontId="14" fillId="0" borderId="9" xfId="0" applyFont="1" applyBorder="1" applyAlignment="1">
      <alignment horizontal="center" wrapText="1"/>
    </xf>
    <xf numFmtId="0" fontId="20" fillId="0" borderId="9" xfId="0" applyFont="1" applyBorder="1" applyAlignment="1">
      <alignment horizontal="left" vertical="top" wrapText="1" indent="1"/>
    </xf>
    <xf numFmtId="0" fontId="19" fillId="9" borderId="9" xfId="0" applyFont="1" applyFill="1" applyBorder="1" applyAlignment="1">
      <alignment horizontal="center" wrapText="1"/>
    </xf>
    <xf numFmtId="0" fontId="24" fillId="0" borderId="9" xfId="0" applyFont="1" applyFill="1" applyBorder="1" applyAlignment="1">
      <alignment horizontal="center" vertical="top" wrapText="1"/>
    </xf>
    <xf numFmtId="0" fontId="6" fillId="0" borderId="0" xfId="0" applyFont="1" applyFill="1" applyAlignment="1"/>
    <xf numFmtId="0" fontId="24" fillId="0" borderId="9" xfId="0" applyFont="1" applyFill="1" applyBorder="1" applyAlignment="1">
      <alignment horizontal="left" vertical="top" wrapText="1" indent="1"/>
    </xf>
    <xf numFmtId="0" fontId="24" fillId="0" borderId="8" xfId="0" applyFont="1" applyFill="1" applyBorder="1" applyAlignment="1">
      <alignment horizontal="left" vertical="top" wrapText="1" indent="1"/>
    </xf>
    <xf numFmtId="164" fontId="10" fillId="5" borderId="1" xfId="1" applyNumberFormat="1" applyFont="1" applyFill="1" applyBorder="1" applyAlignment="1" applyProtection="1">
      <alignment horizontal="center" vertical="center"/>
      <protection locked="0"/>
    </xf>
    <xf numFmtId="0" fontId="10" fillId="6" borderId="3" xfId="0" applyFont="1" applyFill="1" applyBorder="1" applyAlignment="1">
      <alignment horizontal="center" vertical="center" wrapText="1"/>
    </xf>
    <xf numFmtId="0" fontId="10" fillId="6" borderId="4" xfId="0" applyFont="1" applyFill="1" applyBorder="1" applyAlignment="1">
      <alignment horizontal="center" vertical="center"/>
    </xf>
    <xf numFmtId="0" fontId="10" fillId="6" borderId="5" xfId="0" applyFont="1" applyFill="1" applyBorder="1" applyAlignment="1">
      <alignment horizontal="center" vertical="center"/>
    </xf>
    <xf numFmtId="164" fontId="9" fillId="5" borderId="3" xfId="1" applyNumberFormat="1" applyFont="1" applyFill="1" applyBorder="1" applyAlignment="1" applyProtection="1">
      <alignment horizontal="left" vertical="top" indent="1"/>
      <protection locked="0"/>
    </xf>
    <xf numFmtId="164" fontId="9" fillId="5" borderId="4" xfId="1" applyNumberFormat="1" applyFont="1" applyFill="1" applyBorder="1" applyAlignment="1" applyProtection="1">
      <alignment horizontal="left" vertical="top" indent="1"/>
      <protection locked="0"/>
    </xf>
    <xf numFmtId="164" fontId="9" fillId="5" borderId="5" xfId="1" applyNumberFormat="1" applyFont="1" applyFill="1" applyBorder="1" applyAlignment="1" applyProtection="1">
      <alignment horizontal="left" vertical="top" indent="1"/>
      <protection locked="0"/>
    </xf>
    <xf numFmtId="0" fontId="9" fillId="0" borderId="3" xfId="0" applyFont="1" applyBorder="1" applyAlignment="1">
      <alignment horizontal="left" indent="1"/>
    </xf>
    <xf numFmtId="0" fontId="9" fillId="0" borderId="4" xfId="0" applyFont="1" applyBorder="1" applyAlignment="1">
      <alignment horizontal="left" indent="1"/>
    </xf>
    <xf numFmtId="0" fontId="9" fillId="0" borderId="5" xfId="0" applyFont="1" applyBorder="1" applyAlignment="1">
      <alignment horizontal="left" indent="1"/>
    </xf>
    <xf numFmtId="0" fontId="11" fillId="0" borderId="0" xfId="0" applyFont="1" applyAlignment="1">
      <alignment horizontal="center" vertical="center"/>
    </xf>
    <xf numFmtId="0" fontId="10" fillId="6" borderId="3" xfId="0" applyFont="1" applyFill="1" applyBorder="1" applyAlignment="1">
      <alignment horizontal="left" vertical="center" wrapText="1" indent="1"/>
    </xf>
    <xf numFmtId="0" fontId="10" fillId="6" borderId="4" xfId="0" applyFont="1" applyFill="1" applyBorder="1" applyAlignment="1">
      <alignment horizontal="left" vertical="center" indent="1"/>
    </xf>
    <xf numFmtId="0" fontId="10" fillId="6" borderId="5" xfId="0" applyFont="1" applyFill="1" applyBorder="1" applyAlignment="1">
      <alignment horizontal="left" vertical="center" inden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Border="1" applyAlignment="1">
      <alignment horizontal="center" vertical="center" wrapText="1"/>
    </xf>
    <xf numFmtId="0" fontId="23" fillId="0" borderId="0" xfId="0" applyFont="1" applyAlignment="1">
      <alignment horizontal="left" vertical="center"/>
    </xf>
    <xf numFmtId="0" fontId="14" fillId="0" borderId="0" xfId="0" applyFont="1" applyAlignment="1">
      <alignment horizontal="left" vertical="top" wrapText="1"/>
    </xf>
    <xf numFmtId="0" fontId="24" fillId="0" borderId="9" xfId="0" applyFont="1" applyFill="1" applyBorder="1" applyAlignment="1">
      <alignment horizontal="left" vertical="top" wrapText="1" indent="1"/>
    </xf>
    <xf numFmtId="0" fontId="24" fillId="0" borderId="8" xfId="0" applyFont="1" applyFill="1" applyBorder="1" applyAlignment="1">
      <alignment horizontal="left" vertical="top" wrapText="1" indent="1"/>
    </xf>
  </cellXfs>
  <cellStyles count="2">
    <cellStyle name="Comma" xfId="1" builtinId="3"/>
    <cellStyle name="Normal" xfId="0" builtinId="0"/>
  </cellStyles>
  <dxfs count="71">
    <dxf>
      <font>
        <strike val="0"/>
        <outline val="0"/>
        <shadow val="0"/>
        <u val="none"/>
        <vertAlign val="baseline"/>
        <sz val="11"/>
        <color theme="7"/>
        <name val="Calibri"/>
        <family val="2"/>
        <scheme val="minor"/>
      </font>
    </dxf>
    <dxf>
      <font>
        <strike val="0"/>
        <outline val="0"/>
        <shadow val="0"/>
        <u val="none"/>
        <vertAlign val="baseline"/>
        <sz val="11"/>
        <color theme="7"/>
        <name val="Calibri"/>
        <family val="2"/>
        <scheme val="minor"/>
      </font>
    </dxf>
    <dxf>
      <font>
        <strike val="0"/>
        <outline val="0"/>
        <shadow val="0"/>
        <u val="none"/>
        <vertAlign val="baseline"/>
        <sz val="11"/>
        <color theme="7"/>
        <name val="Calibri"/>
        <family val="2"/>
        <scheme val="minor"/>
      </font>
    </dxf>
    <dxf>
      <font>
        <strike val="0"/>
        <outline val="0"/>
        <shadow val="0"/>
        <u val="none"/>
        <vertAlign val="baseline"/>
        <sz val="11"/>
        <color theme="7"/>
        <name val="Calibri"/>
        <family val="2"/>
        <scheme val="minor"/>
      </font>
    </dxf>
    <dxf>
      <font>
        <strike val="0"/>
        <outline val="0"/>
        <shadow val="0"/>
        <u val="none"/>
        <vertAlign val="baseline"/>
        <sz val="11"/>
        <color theme="7"/>
        <name val="Calibri"/>
        <family val="2"/>
        <scheme val="minor"/>
      </font>
    </dxf>
    <dxf>
      <font>
        <strike val="0"/>
        <outline val="0"/>
        <shadow val="0"/>
        <u val="none"/>
        <vertAlign val="baseline"/>
        <sz val="11"/>
        <color theme="7"/>
        <name val="Calibri"/>
        <family val="2"/>
        <scheme val="minor"/>
      </font>
    </dxf>
    <dxf>
      <font>
        <strike val="0"/>
        <outline val="0"/>
        <shadow val="0"/>
        <u val="none"/>
        <vertAlign val="baseline"/>
        <sz val="11"/>
        <color theme="7"/>
        <name val="Calibri"/>
        <family val="2"/>
        <scheme val="minor"/>
      </font>
    </dxf>
    <dxf>
      <font>
        <strike val="0"/>
        <outline val="0"/>
        <shadow val="0"/>
        <u val="none"/>
        <vertAlign val="baseline"/>
        <sz val="11"/>
        <color theme="7"/>
        <name val="Calibri"/>
        <family val="2"/>
        <scheme val="minor"/>
      </font>
    </dxf>
    <dxf>
      <font>
        <strike val="0"/>
        <outline val="0"/>
        <shadow val="0"/>
        <u val="none"/>
        <vertAlign val="baseline"/>
        <sz val="11"/>
        <color theme="0"/>
        <name val="Calibri"/>
        <family val="2"/>
        <scheme val="minor"/>
      </font>
      <fill>
        <patternFill patternType="solid">
          <fgColor indexed="64"/>
          <bgColor theme="7" tint="4.9989318521683403E-2"/>
        </patternFill>
      </fill>
      <alignment horizontal="center" vertical="top" textRotation="0" wrapText="1" indent="0" justifyLastLine="0" shrinkToFit="0" readingOrder="0"/>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color theme="0"/>
      </font>
      <fill>
        <patternFill>
          <bgColor rgb="FF00B0F0"/>
        </patternFill>
      </fill>
    </dxf>
    <dxf>
      <font>
        <b/>
        <i val="0"/>
        <color theme="0"/>
      </font>
      <fill>
        <patternFill>
          <bgColor theme="7" tint="0.34998626667073579"/>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2A5E2"/>
      <color rgb="FFE0E5E9"/>
      <color rgb="FFED1A3B"/>
      <color rgb="FF657C91"/>
      <color rgb="FFDF862F"/>
      <color rgb="FF98002E"/>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sv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sv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219075</xdr:rowOff>
    </xdr:from>
    <xdr:to>
      <xdr:col>1</xdr:col>
      <xdr:colOff>381000</xdr:colOff>
      <xdr:row>0</xdr:row>
      <xdr:rowOff>468585</xdr:rowOff>
    </xdr:to>
    <xdr:pic>
      <xdr:nvPicPr>
        <xdr:cNvPr id="2" name="Picture 1" descr="BDO_Logo_RGB 100%">
          <a:extLst>
            <a:ext uri="{FF2B5EF4-FFF2-40B4-BE49-F238E27FC236}">
              <a16:creationId xmlns:a16="http://schemas.microsoft.com/office/drawing/2014/main" id="{E14C4498-B6FD-4DFD-8014-19D15B33225D}"/>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114300" y="219075"/>
          <a:ext cx="647700" cy="24951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647700</xdr:colOff>
      <xdr:row>14</xdr:row>
      <xdr:rowOff>76590</xdr:rowOff>
    </xdr:from>
    <xdr:to>
      <xdr:col>4</xdr:col>
      <xdr:colOff>1200150</xdr:colOff>
      <xdr:row>14</xdr:row>
      <xdr:rowOff>278899</xdr:rowOff>
    </xdr:to>
    <xdr:pic>
      <xdr:nvPicPr>
        <xdr:cNvPr id="15" name="Picture 14" descr="BDO_Logo_RGB 100%">
          <a:extLst>
            <a:ext uri="{FF2B5EF4-FFF2-40B4-BE49-F238E27FC236}">
              <a16:creationId xmlns:a16="http://schemas.microsoft.com/office/drawing/2014/main" id="{18A95E8A-F574-4E44-B525-DD834987F3DF}"/>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5905500" y="9601590"/>
          <a:ext cx="552450" cy="202309"/>
        </a:xfrm>
        <a:prstGeom prst="rect">
          <a:avLst/>
        </a:prstGeom>
        <a:noFill/>
        <a:ln>
          <a:noFill/>
        </a:ln>
      </xdr:spPr>
    </xdr:pic>
    <xdr:clientData/>
  </xdr:twoCellAnchor>
  <xdr:twoCellAnchor editAs="absolute">
    <xdr:from>
      <xdr:col>0</xdr:col>
      <xdr:colOff>209550</xdr:colOff>
      <xdr:row>1</xdr:row>
      <xdr:rowOff>371475</xdr:rowOff>
    </xdr:from>
    <xdr:to>
      <xdr:col>0</xdr:col>
      <xdr:colOff>1123950</xdr:colOff>
      <xdr:row>3</xdr:row>
      <xdr:rowOff>647700</xdr:rowOff>
    </xdr:to>
    <xdr:grpSp>
      <xdr:nvGrpSpPr>
        <xdr:cNvPr id="16" name="Group 15">
          <a:extLst>
            <a:ext uri="{FF2B5EF4-FFF2-40B4-BE49-F238E27FC236}">
              <a16:creationId xmlns:a16="http://schemas.microsoft.com/office/drawing/2014/main" id="{B262AD1A-FB52-45FE-B252-C3F326A9612A}"/>
            </a:ext>
          </a:extLst>
        </xdr:cNvPr>
        <xdr:cNvGrpSpPr>
          <a:grpSpLocks noChangeAspect="1"/>
        </xdr:cNvGrpSpPr>
      </xdr:nvGrpSpPr>
      <xdr:grpSpPr>
        <a:xfrm>
          <a:off x="209550" y="657225"/>
          <a:ext cx="914400" cy="914400"/>
          <a:chOff x="2394665" y="2286000"/>
          <a:chExt cx="1371600" cy="1371600"/>
        </a:xfrm>
      </xdr:grpSpPr>
      <xdr:sp macro="" textlink="">
        <xdr:nvSpPr>
          <xdr:cNvPr id="17" name="Oval 16">
            <a:extLst>
              <a:ext uri="{FF2B5EF4-FFF2-40B4-BE49-F238E27FC236}">
                <a16:creationId xmlns:a16="http://schemas.microsoft.com/office/drawing/2014/main" id="{1BB50A80-F605-4769-9218-DDC017CDB8CB}"/>
              </a:ext>
            </a:extLst>
          </xdr:cNvPr>
          <xdr:cNvSpPr>
            <a:spLocks/>
          </xdr:cNvSpPr>
        </xdr:nvSpPr>
        <xdr:spPr bwMode="auto">
          <a:xfrm>
            <a:off x="2394665" y="2286000"/>
            <a:ext cx="1371600" cy="1371600"/>
          </a:xfrm>
          <a:prstGeom prst="ellipse">
            <a:avLst/>
          </a:prstGeom>
          <a:solidFill>
            <a:srgbClr val="02A5E2"/>
          </a:solidFill>
          <a:ln w="25400" cap="flat" cmpd="sng" algn="ctr">
            <a:noFill/>
            <a:prstDash val="solid"/>
            <a:round/>
            <a:headEnd type="none" w="med" len="med"/>
            <a:tailEnd type="triangle" w="lg" len="med"/>
          </a:ln>
          <a:effectLst/>
        </xdr:spPr>
        <xdr:txBody>
          <a:bodyPr rot="0" spcFirstLastPara="0" vert="horz" wrap="square" lIns="0" tIns="0" rIns="0" bIns="0" numCol="1" spcCol="0" rtlCol="0" fromWordArt="0" anchor="ctr" anchorCtr="0" forceAA="0" compatLnSpc="1">
            <a:prstTxWarp prst="textNoShape">
              <a:avLst/>
            </a:prstTxWarp>
            <a:noAutofit/>
          </a:bodyPr>
          <a:lstStyle>
            <a:defPPr>
              <a:defRPr lang="en-GB"/>
            </a:defPPr>
            <a:lvl1pPr algn="ctr" rtl="0" fontAlgn="base">
              <a:spcBef>
                <a:spcPct val="0"/>
              </a:spcBef>
              <a:spcAft>
                <a:spcPct val="0"/>
              </a:spcAft>
              <a:defRPr sz="1600" b="1" kern="1200">
                <a:solidFill>
                  <a:schemeClr val="bg1"/>
                </a:solidFill>
                <a:latin typeface="Trebuchet MS" pitchFamily="34" charset="0"/>
                <a:ea typeface="+mn-ea"/>
                <a:cs typeface="+mn-cs"/>
              </a:defRPr>
            </a:lvl1pPr>
            <a:lvl2pPr marL="509412" algn="ctr" rtl="0" fontAlgn="base">
              <a:spcBef>
                <a:spcPct val="0"/>
              </a:spcBef>
              <a:spcAft>
                <a:spcPct val="0"/>
              </a:spcAft>
              <a:defRPr sz="1600" b="1" kern="1200">
                <a:solidFill>
                  <a:schemeClr val="bg1"/>
                </a:solidFill>
                <a:latin typeface="Trebuchet MS" pitchFamily="34" charset="0"/>
                <a:ea typeface="+mn-ea"/>
                <a:cs typeface="+mn-cs"/>
              </a:defRPr>
            </a:lvl2pPr>
            <a:lvl3pPr marL="1018824" algn="ctr" rtl="0" fontAlgn="base">
              <a:spcBef>
                <a:spcPct val="0"/>
              </a:spcBef>
              <a:spcAft>
                <a:spcPct val="0"/>
              </a:spcAft>
              <a:defRPr sz="1600" b="1" kern="1200">
                <a:solidFill>
                  <a:schemeClr val="bg1"/>
                </a:solidFill>
                <a:latin typeface="Trebuchet MS" pitchFamily="34" charset="0"/>
                <a:ea typeface="+mn-ea"/>
                <a:cs typeface="+mn-cs"/>
              </a:defRPr>
            </a:lvl3pPr>
            <a:lvl4pPr marL="1528237" algn="ctr" rtl="0" fontAlgn="base">
              <a:spcBef>
                <a:spcPct val="0"/>
              </a:spcBef>
              <a:spcAft>
                <a:spcPct val="0"/>
              </a:spcAft>
              <a:defRPr sz="1600" b="1" kern="1200">
                <a:solidFill>
                  <a:schemeClr val="bg1"/>
                </a:solidFill>
                <a:latin typeface="Trebuchet MS" pitchFamily="34" charset="0"/>
                <a:ea typeface="+mn-ea"/>
                <a:cs typeface="+mn-cs"/>
              </a:defRPr>
            </a:lvl4pPr>
            <a:lvl5pPr marL="2037649" algn="ctr" rtl="0" fontAlgn="base">
              <a:spcBef>
                <a:spcPct val="0"/>
              </a:spcBef>
              <a:spcAft>
                <a:spcPct val="0"/>
              </a:spcAft>
              <a:defRPr sz="1600" b="1" kern="1200">
                <a:solidFill>
                  <a:schemeClr val="bg1"/>
                </a:solidFill>
                <a:latin typeface="Trebuchet MS" pitchFamily="34" charset="0"/>
                <a:ea typeface="+mn-ea"/>
                <a:cs typeface="+mn-cs"/>
              </a:defRPr>
            </a:lvl5pPr>
            <a:lvl6pPr marL="2547061" algn="l" defTabSz="1018824" rtl="0" eaLnBrk="1" latinLnBrk="0" hangingPunct="1">
              <a:defRPr sz="1600" b="1" kern="1200">
                <a:solidFill>
                  <a:schemeClr val="bg1"/>
                </a:solidFill>
                <a:latin typeface="Trebuchet MS" pitchFamily="34" charset="0"/>
                <a:ea typeface="+mn-ea"/>
                <a:cs typeface="+mn-cs"/>
              </a:defRPr>
            </a:lvl6pPr>
            <a:lvl7pPr marL="3056473" algn="l" defTabSz="1018824" rtl="0" eaLnBrk="1" latinLnBrk="0" hangingPunct="1">
              <a:defRPr sz="1600" b="1" kern="1200">
                <a:solidFill>
                  <a:schemeClr val="bg1"/>
                </a:solidFill>
                <a:latin typeface="Trebuchet MS" pitchFamily="34" charset="0"/>
                <a:ea typeface="+mn-ea"/>
                <a:cs typeface="+mn-cs"/>
              </a:defRPr>
            </a:lvl7pPr>
            <a:lvl8pPr marL="3565886" algn="l" defTabSz="1018824" rtl="0" eaLnBrk="1" latinLnBrk="0" hangingPunct="1">
              <a:defRPr sz="1600" b="1" kern="1200">
                <a:solidFill>
                  <a:schemeClr val="bg1"/>
                </a:solidFill>
                <a:latin typeface="Trebuchet MS" pitchFamily="34" charset="0"/>
                <a:ea typeface="+mn-ea"/>
                <a:cs typeface="+mn-cs"/>
              </a:defRPr>
            </a:lvl8pPr>
            <a:lvl9pPr marL="4075298" algn="l" defTabSz="1018824" rtl="0" eaLnBrk="1" latinLnBrk="0" hangingPunct="1">
              <a:defRPr sz="1600" b="1" kern="1200">
                <a:solidFill>
                  <a:schemeClr val="bg1"/>
                </a:solidFill>
                <a:latin typeface="Trebuchet MS" pitchFamily="34" charset="0"/>
                <a:ea typeface="+mn-ea"/>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endParaRPr kumimoji="0" lang="en-US" sz="1400" b="1" i="0" u="none" strike="noStrike" cap="none" normalizeH="0" baseline="0">
              <a:ln>
                <a:noFill/>
              </a:ln>
              <a:solidFill>
                <a:schemeClr val="bg1"/>
              </a:solidFill>
              <a:effectLst/>
              <a:latin typeface="Trebuchet MS" pitchFamily="34" charset="0"/>
            </a:endParaRPr>
          </a:p>
        </xdr:txBody>
      </xdr:sp>
      <xdr:pic>
        <xdr:nvPicPr>
          <xdr:cNvPr id="18" name="Graphic 13">
            <a:extLst>
              <a:ext uri="{FF2B5EF4-FFF2-40B4-BE49-F238E27FC236}">
                <a16:creationId xmlns:a16="http://schemas.microsoft.com/office/drawing/2014/main" id="{2AAAB6BA-2165-4AE7-B139-8ACEC2F2AE41}"/>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684018" y="2575353"/>
            <a:ext cx="792895" cy="792895"/>
          </a:xfrm>
          <a:prstGeom prst="rect">
            <a:avLst/>
          </a:prstGeom>
        </xdr:spPr>
      </xdr:pic>
    </xdr:grpSp>
    <xdr:clientData/>
  </xdr:twoCellAnchor>
  <xdr:twoCellAnchor editAs="absolute">
    <xdr:from>
      <xdr:col>1</xdr:col>
      <xdr:colOff>209550</xdr:colOff>
      <xdr:row>1</xdr:row>
      <xdr:rowOff>371475</xdr:rowOff>
    </xdr:from>
    <xdr:to>
      <xdr:col>1</xdr:col>
      <xdr:colOff>1123950</xdr:colOff>
      <xdr:row>3</xdr:row>
      <xdr:rowOff>647700</xdr:rowOff>
    </xdr:to>
    <xdr:grpSp>
      <xdr:nvGrpSpPr>
        <xdr:cNvPr id="19" name="Group 18">
          <a:extLst>
            <a:ext uri="{FF2B5EF4-FFF2-40B4-BE49-F238E27FC236}">
              <a16:creationId xmlns:a16="http://schemas.microsoft.com/office/drawing/2014/main" id="{756FEBDC-B98B-4D03-AC44-5958525D45FB}"/>
            </a:ext>
          </a:extLst>
        </xdr:cNvPr>
        <xdr:cNvGrpSpPr>
          <a:grpSpLocks noChangeAspect="1"/>
        </xdr:cNvGrpSpPr>
      </xdr:nvGrpSpPr>
      <xdr:grpSpPr>
        <a:xfrm>
          <a:off x="1524000" y="657225"/>
          <a:ext cx="914400" cy="914400"/>
          <a:chOff x="4139988" y="6968573"/>
          <a:chExt cx="1371600" cy="1371600"/>
        </a:xfrm>
        <a:solidFill>
          <a:srgbClr val="DF862F"/>
        </a:solidFill>
      </xdr:grpSpPr>
      <xdr:sp macro="" textlink="">
        <xdr:nvSpPr>
          <xdr:cNvPr id="20" name="Oval 19">
            <a:extLst>
              <a:ext uri="{FF2B5EF4-FFF2-40B4-BE49-F238E27FC236}">
                <a16:creationId xmlns:a16="http://schemas.microsoft.com/office/drawing/2014/main" id="{772101D6-90C6-438E-AFD3-888EF6D2D74B}"/>
              </a:ext>
            </a:extLst>
          </xdr:cNvPr>
          <xdr:cNvSpPr/>
        </xdr:nvSpPr>
        <xdr:spPr bwMode="auto">
          <a:xfrm>
            <a:off x="4139988" y="6968573"/>
            <a:ext cx="1371600" cy="1371600"/>
          </a:xfrm>
          <a:prstGeom prst="ellipse">
            <a:avLst/>
          </a:prstGeom>
          <a:grpFill/>
          <a:ln w="25400" cap="flat" cmpd="sng" algn="ctr">
            <a:noFill/>
            <a:prstDash val="solid"/>
            <a:round/>
            <a:headEnd type="none" w="med" len="med"/>
            <a:tailEnd type="triangle" w="lg" len="med"/>
          </a:ln>
          <a:effectLst/>
        </xdr:spPr>
        <xdr:txBody>
          <a:bodyPr rot="0" spcFirstLastPara="0" vert="horz" wrap="square" lIns="0" tIns="0" rIns="0" bIns="0" numCol="1" spcCol="0" rtlCol="0" fromWordArt="0" anchor="ctr" anchorCtr="0" forceAA="0" compatLnSpc="1">
            <a:prstTxWarp prst="textNoShape">
              <a:avLst/>
            </a:prstTxWarp>
            <a:noAutofit/>
          </a:bodyPr>
          <a:lstStyle>
            <a:defPPr>
              <a:defRPr lang="en-GB"/>
            </a:defPPr>
            <a:lvl1pPr algn="ctr" rtl="0" fontAlgn="base">
              <a:spcBef>
                <a:spcPct val="0"/>
              </a:spcBef>
              <a:spcAft>
                <a:spcPct val="0"/>
              </a:spcAft>
              <a:defRPr sz="1600" b="1" kern="1200">
                <a:solidFill>
                  <a:schemeClr val="bg1"/>
                </a:solidFill>
                <a:latin typeface="Trebuchet MS" pitchFamily="34" charset="0"/>
                <a:ea typeface="+mn-ea"/>
                <a:cs typeface="+mn-cs"/>
              </a:defRPr>
            </a:lvl1pPr>
            <a:lvl2pPr marL="509412" algn="ctr" rtl="0" fontAlgn="base">
              <a:spcBef>
                <a:spcPct val="0"/>
              </a:spcBef>
              <a:spcAft>
                <a:spcPct val="0"/>
              </a:spcAft>
              <a:defRPr sz="1600" b="1" kern="1200">
                <a:solidFill>
                  <a:schemeClr val="bg1"/>
                </a:solidFill>
                <a:latin typeface="Trebuchet MS" pitchFamily="34" charset="0"/>
                <a:ea typeface="+mn-ea"/>
                <a:cs typeface="+mn-cs"/>
              </a:defRPr>
            </a:lvl2pPr>
            <a:lvl3pPr marL="1018824" algn="ctr" rtl="0" fontAlgn="base">
              <a:spcBef>
                <a:spcPct val="0"/>
              </a:spcBef>
              <a:spcAft>
                <a:spcPct val="0"/>
              </a:spcAft>
              <a:defRPr sz="1600" b="1" kern="1200">
                <a:solidFill>
                  <a:schemeClr val="bg1"/>
                </a:solidFill>
                <a:latin typeface="Trebuchet MS" pitchFamily="34" charset="0"/>
                <a:ea typeface="+mn-ea"/>
                <a:cs typeface="+mn-cs"/>
              </a:defRPr>
            </a:lvl3pPr>
            <a:lvl4pPr marL="1528237" algn="ctr" rtl="0" fontAlgn="base">
              <a:spcBef>
                <a:spcPct val="0"/>
              </a:spcBef>
              <a:spcAft>
                <a:spcPct val="0"/>
              </a:spcAft>
              <a:defRPr sz="1600" b="1" kern="1200">
                <a:solidFill>
                  <a:schemeClr val="bg1"/>
                </a:solidFill>
                <a:latin typeface="Trebuchet MS" pitchFamily="34" charset="0"/>
                <a:ea typeface="+mn-ea"/>
                <a:cs typeface="+mn-cs"/>
              </a:defRPr>
            </a:lvl4pPr>
            <a:lvl5pPr marL="2037649" algn="ctr" rtl="0" fontAlgn="base">
              <a:spcBef>
                <a:spcPct val="0"/>
              </a:spcBef>
              <a:spcAft>
                <a:spcPct val="0"/>
              </a:spcAft>
              <a:defRPr sz="1600" b="1" kern="1200">
                <a:solidFill>
                  <a:schemeClr val="bg1"/>
                </a:solidFill>
                <a:latin typeface="Trebuchet MS" pitchFamily="34" charset="0"/>
                <a:ea typeface="+mn-ea"/>
                <a:cs typeface="+mn-cs"/>
              </a:defRPr>
            </a:lvl5pPr>
            <a:lvl6pPr marL="2547061" algn="l" defTabSz="1018824" rtl="0" eaLnBrk="1" latinLnBrk="0" hangingPunct="1">
              <a:defRPr sz="1600" b="1" kern="1200">
                <a:solidFill>
                  <a:schemeClr val="bg1"/>
                </a:solidFill>
                <a:latin typeface="Trebuchet MS" pitchFamily="34" charset="0"/>
                <a:ea typeface="+mn-ea"/>
                <a:cs typeface="+mn-cs"/>
              </a:defRPr>
            </a:lvl6pPr>
            <a:lvl7pPr marL="3056473" algn="l" defTabSz="1018824" rtl="0" eaLnBrk="1" latinLnBrk="0" hangingPunct="1">
              <a:defRPr sz="1600" b="1" kern="1200">
                <a:solidFill>
                  <a:schemeClr val="bg1"/>
                </a:solidFill>
                <a:latin typeface="Trebuchet MS" pitchFamily="34" charset="0"/>
                <a:ea typeface="+mn-ea"/>
                <a:cs typeface="+mn-cs"/>
              </a:defRPr>
            </a:lvl7pPr>
            <a:lvl8pPr marL="3565886" algn="l" defTabSz="1018824" rtl="0" eaLnBrk="1" latinLnBrk="0" hangingPunct="1">
              <a:defRPr sz="1600" b="1" kern="1200">
                <a:solidFill>
                  <a:schemeClr val="bg1"/>
                </a:solidFill>
                <a:latin typeface="Trebuchet MS" pitchFamily="34" charset="0"/>
                <a:ea typeface="+mn-ea"/>
                <a:cs typeface="+mn-cs"/>
              </a:defRPr>
            </a:lvl8pPr>
            <a:lvl9pPr marL="4075298" algn="l" defTabSz="1018824" rtl="0" eaLnBrk="1" latinLnBrk="0" hangingPunct="1">
              <a:defRPr sz="1600" b="1" kern="1200">
                <a:solidFill>
                  <a:schemeClr val="bg1"/>
                </a:solidFill>
                <a:latin typeface="Trebuchet MS" pitchFamily="34" charset="0"/>
                <a:ea typeface="+mn-ea"/>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endParaRPr kumimoji="0" lang="en-US" sz="1400" b="1" i="0" u="none" strike="noStrike" cap="none" normalizeH="0" baseline="0">
              <a:ln>
                <a:noFill/>
              </a:ln>
              <a:solidFill>
                <a:schemeClr val="bg1"/>
              </a:solidFill>
              <a:effectLst/>
              <a:latin typeface="Trebuchet MS" pitchFamily="34" charset="0"/>
            </a:endParaRPr>
          </a:p>
        </xdr:txBody>
      </xdr:sp>
      <xdr:pic>
        <xdr:nvPicPr>
          <xdr:cNvPr id="21" name="Graphic 20">
            <a:extLst>
              <a:ext uri="{FF2B5EF4-FFF2-40B4-BE49-F238E27FC236}">
                <a16:creationId xmlns:a16="http://schemas.microsoft.com/office/drawing/2014/main" id="{509C31B1-8250-483C-96E2-90456A35D24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4359063" y="7240036"/>
            <a:ext cx="933450" cy="828675"/>
          </a:xfrm>
          <a:prstGeom prst="rect">
            <a:avLst/>
          </a:prstGeom>
        </xdr:spPr>
      </xdr:pic>
    </xdr:grpSp>
    <xdr:clientData/>
  </xdr:twoCellAnchor>
  <xdr:twoCellAnchor editAs="absolute">
    <xdr:from>
      <xdr:col>2</xdr:col>
      <xdr:colOff>209550</xdr:colOff>
      <xdr:row>1</xdr:row>
      <xdr:rowOff>371475</xdr:rowOff>
    </xdr:from>
    <xdr:to>
      <xdr:col>2</xdr:col>
      <xdr:colOff>1123950</xdr:colOff>
      <xdr:row>3</xdr:row>
      <xdr:rowOff>647700</xdr:rowOff>
    </xdr:to>
    <xdr:grpSp>
      <xdr:nvGrpSpPr>
        <xdr:cNvPr id="22" name="Group 21">
          <a:extLst>
            <a:ext uri="{FF2B5EF4-FFF2-40B4-BE49-F238E27FC236}">
              <a16:creationId xmlns:a16="http://schemas.microsoft.com/office/drawing/2014/main" id="{5C5D42EB-F0BE-4028-BB86-CA50DF716F0E}"/>
            </a:ext>
          </a:extLst>
        </xdr:cNvPr>
        <xdr:cNvGrpSpPr>
          <a:grpSpLocks noChangeAspect="1"/>
        </xdr:cNvGrpSpPr>
      </xdr:nvGrpSpPr>
      <xdr:grpSpPr>
        <a:xfrm>
          <a:off x="2838450" y="657225"/>
          <a:ext cx="914400" cy="914400"/>
          <a:chOff x="2231037" y="4579174"/>
          <a:chExt cx="1371600" cy="1371600"/>
        </a:xfrm>
      </xdr:grpSpPr>
      <xdr:sp macro="" textlink="">
        <xdr:nvSpPr>
          <xdr:cNvPr id="23" name="Oval 22">
            <a:extLst>
              <a:ext uri="{FF2B5EF4-FFF2-40B4-BE49-F238E27FC236}">
                <a16:creationId xmlns:a16="http://schemas.microsoft.com/office/drawing/2014/main" id="{A0BCFA5D-C76B-447A-832F-346D94FD0D24}"/>
              </a:ext>
            </a:extLst>
          </xdr:cNvPr>
          <xdr:cNvSpPr>
            <a:spLocks/>
          </xdr:cNvSpPr>
        </xdr:nvSpPr>
        <xdr:spPr bwMode="auto">
          <a:xfrm>
            <a:off x="2231037" y="4579174"/>
            <a:ext cx="1371600" cy="1371600"/>
          </a:xfrm>
          <a:prstGeom prst="ellipse">
            <a:avLst/>
          </a:prstGeom>
          <a:solidFill>
            <a:srgbClr val="657C91"/>
          </a:solidFill>
          <a:ln w="25400" cap="flat" cmpd="sng" algn="ctr">
            <a:noFill/>
            <a:prstDash val="solid"/>
            <a:round/>
            <a:headEnd type="none" w="med" len="med"/>
            <a:tailEnd type="triangle" w="lg" len="med"/>
          </a:ln>
          <a:effectLst/>
        </xdr:spPr>
        <xdr:txBody>
          <a:bodyPr rot="0" spcFirstLastPara="0" vert="horz" wrap="square" lIns="0" tIns="0" rIns="0" bIns="0" numCol="1" spcCol="0" rtlCol="0" fromWordArt="0" anchor="ctr" anchorCtr="0" forceAA="0" compatLnSpc="1">
            <a:prstTxWarp prst="textNoShape">
              <a:avLst/>
            </a:prstTxWarp>
            <a:noAutofit/>
          </a:bodyPr>
          <a:lstStyle>
            <a:defPPr>
              <a:defRPr lang="en-GB"/>
            </a:defPPr>
            <a:lvl1pPr algn="ctr" rtl="0" fontAlgn="base">
              <a:spcBef>
                <a:spcPct val="0"/>
              </a:spcBef>
              <a:spcAft>
                <a:spcPct val="0"/>
              </a:spcAft>
              <a:defRPr sz="1600" b="1" kern="1200">
                <a:solidFill>
                  <a:schemeClr val="bg1"/>
                </a:solidFill>
                <a:latin typeface="Trebuchet MS" pitchFamily="34" charset="0"/>
                <a:ea typeface="+mn-ea"/>
                <a:cs typeface="+mn-cs"/>
              </a:defRPr>
            </a:lvl1pPr>
            <a:lvl2pPr marL="509412" algn="ctr" rtl="0" fontAlgn="base">
              <a:spcBef>
                <a:spcPct val="0"/>
              </a:spcBef>
              <a:spcAft>
                <a:spcPct val="0"/>
              </a:spcAft>
              <a:defRPr sz="1600" b="1" kern="1200">
                <a:solidFill>
                  <a:schemeClr val="bg1"/>
                </a:solidFill>
                <a:latin typeface="Trebuchet MS" pitchFamily="34" charset="0"/>
                <a:ea typeface="+mn-ea"/>
                <a:cs typeface="+mn-cs"/>
              </a:defRPr>
            </a:lvl2pPr>
            <a:lvl3pPr marL="1018824" algn="ctr" rtl="0" fontAlgn="base">
              <a:spcBef>
                <a:spcPct val="0"/>
              </a:spcBef>
              <a:spcAft>
                <a:spcPct val="0"/>
              </a:spcAft>
              <a:defRPr sz="1600" b="1" kern="1200">
                <a:solidFill>
                  <a:schemeClr val="bg1"/>
                </a:solidFill>
                <a:latin typeface="Trebuchet MS" pitchFamily="34" charset="0"/>
                <a:ea typeface="+mn-ea"/>
                <a:cs typeface="+mn-cs"/>
              </a:defRPr>
            </a:lvl3pPr>
            <a:lvl4pPr marL="1528237" algn="ctr" rtl="0" fontAlgn="base">
              <a:spcBef>
                <a:spcPct val="0"/>
              </a:spcBef>
              <a:spcAft>
                <a:spcPct val="0"/>
              </a:spcAft>
              <a:defRPr sz="1600" b="1" kern="1200">
                <a:solidFill>
                  <a:schemeClr val="bg1"/>
                </a:solidFill>
                <a:latin typeface="Trebuchet MS" pitchFamily="34" charset="0"/>
                <a:ea typeface="+mn-ea"/>
                <a:cs typeface="+mn-cs"/>
              </a:defRPr>
            </a:lvl4pPr>
            <a:lvl5pPr marL="2037649" algn="ctr" rtl="0" fontAlgn="base">
              <a:spcBef>
                <a:spcPct val="0"/>
              </a:spcBef>
              <a:spcAft>
                <a:spcPct val="0"/>
              </a:spcAft>
              <a:defRPr sz="1600" b="1" kern="1200">
                <a:solidFill>
                  <a:schemeClr val="bg1"/>
                </a:solidFill>
                <a:latin typeface="Trebuchet MS" pitchFamily="34" charset="0"/>
                <a:ea typeface="+mn-ea"/>
                <a:cs typeface="+mn-cs"/>
              </a:defRPr>
            </a:lvl5pPr>
            <a:lvl6pPr marL="2547061" algn="l" defTabSz="1018824" rtl="0" eaLnBrk="1" latinLnBrk="0" hangingPunct="1">
              <a:defRPr sz="1600" b="1" kern="1200">
                <a:solidFill>
                  <a:schemeClr val="bg1"/>
                </a:solidFill>
                <a:latin typeface="Trebuchet MS" pitchFamily="34" charset="0"/>
                <a:ea typeface="+mn-ea"/>
                <a:cs typeface="+mn-cs"/>
              </a:defRPr>
            </a:lvl6pPr>
            <a:lvl7pPr marL="3056473" algn="l" defTabSz="1018824" rtl="0" eaLnBrk="1" latinLnBrk="0" hangingPunct="1">
              <a:defRPr sz="1600" b="1" kern="1200">
                <a:solidFill>
                  <a:schemeClr val="bg1"/>
                </a:solidFill>
                <a:latin typeface="Trebuchet MS" pitchFamily="34" charset="0"/>
                <a:ea typeface="+mn-ea"/>
                <a:cs typeface="+mn-cs"/>
              </a:defRPr>
            </a:lvl7pPr>
            <a:lvl8pPr marL="3565886" algn="l" defTabSz="1018824" rtl="0" eaLnBrk="1" latinLnBrk="0" hangingPunct="1">
              <a:defRPr sz="1600" b="1" kern="1200">
                <a:solidFill>
                  <a:schemeClr val="bg1"/>
                </a:solidFill>
                <a:latin typeface="Trebuchet MS" pitchFamily="34" charset="0"/>
                <a:ea typeface="+mn-ea"/>
                <a:cs typeface="+mn-cs"/>
              </a:defRPr>
            </a:lvl8pPr>
            <a:lvl9pPr marL="4075298" algn="l" defTabSz="1018824" rtl="0" eaLnBrk="1" latinLnBrk="0" hangingPunct="1">
              <a:defRPr sz="1600" b="1" kern="1200">
                <a:solidFill>
                  <a:schemeClr val="bg1"/>
                </a:solidFill>
                <a:latin typeface="Trebuchet MS" pitchFamily="34" charset="0"/>
                <a:ea typeface="+mn-ea"/>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endParaRPr kumimoji="0" lang="en-US" sz="1400" b="1" i="0" u="none" strike="noStrike" cap="none" normalizeH="0" baseline="0">
              <a:ln>
                <a:noFill/>
              </a:ln>
              <a:solidFill>
                <a:schemeClr val="bg1"/>
              </a:solidFill>
              <a:effectLst/>
              <a:latin typeface="Trebuchet MS" pitchFamily="34" charset="0"/>
            </a:endParaRPr>
          </a:p>
        </xdr:txBody>
      </xdr:sp>
      <xdr:pic>
        <xdr:nvPicPr>
          <xdr:cNvPr id="24" name="Graphic 31">
            <a:extLst>
              <a:ext uri="{FF2B5EF4-FFF2-40B4-BE49-F238E27FC236}">
                <a16:creationId xmlns:a16="http://schemas.microsoft.com/office/drawing/2014/main" id="{F4939B34-66AD-4CED-AC2E-02C04C3608CB}"/>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2494005" y="4792661"/>
            <a:ext cx="845665" cy="944626"/>
          </a:xfrm>
          <a:prstGeom prst="rect">
            <a:avLst/>
          </a:prstGeom>
        </xdr:spPr>
      </xdr:pic>
    </xdr:grpSp>
    <xdr:clientData/>
  </xdr:twoCellAnchor>
  <xdr:twoCellAnchor editAs="absolute">
    <xdr:from>
      <xdr:col>4</xdr:col>
      <xdr:colOff>209550</xdr:colOff>
      <xdr:row>1</xdr:row>
      <xdr:rowOff>371475</xdr:rowOff>
    </xdr:from>
    <xdr:to>
      <xdr:col>4</xdr:col>
      <xdr:colOff>1123950</xdr:colOff>
      <xdr:row>3</xdr:row>
      <xdr:rowOff>647700</xdr:rowOff>
    </xdr:to>
    <xdr:grpSp>
      <xdr:nvGrpSpPr>
        <xdr:cNvPr id="25" name="Group 24">
          <a:extLst>
            <a:ext uri="{FF2B5EF4-FFF2-40B4-BE49-F238E27FC236}">
              <a16:creationId xmlns:a16="http://schemas.microsoft.com/office/drawing/2014/main" id="{929B1315-D9B7-473A-8E6A-ACD28DA3D060}"/>
            </a:ext>
          </a:extLst>
        </xdr:cNvPr>
        <xdr:cNvGrpSpPr>
          <a:grpSpLocks noChangeAspect="1"/>
        </xdr:cNvGrpSpPr>
      </xdr:nvGrpSpPr>
      <xdr:grpSpPr>
        <a:xfrm>
          <a:off x="5467350" y="657225"/>
          <a:ext cx="914400" cy="914400"/>
          <a:chOff x="595186" y="6975050"/>
          <a:chExt cx="1371600" cy="1371600"/>
        </a:xfrm>
      </xdr:grpSpPr>
      <xdr:sp macro="" textlink="">
        <xdr:nvSpPr>
          <xdr:cNvPr id="26" name="Oval 25">
            <a:extLst>
              <a:ext uri="{FF2B5EF4-FFF2-40B4-BE49-F238E27FC236}">
                <a16:creationId xmlns:a16="http://schemas.microsoft.com/office/drawing/2014/main" id="{3E4D055F-ACDF-457F-9744-7653F0C38217}"/>
              </a:ext>
            </a:extLst>
          </xdr:cNvPr>
          <xdr:cNvSpPr/>
        </xdr:nvSpPr>
        <xdr:spPr bwMode="auto">
          <a:xfrm>
            <a:off x="595186" y="6975050"/>
            <a:ext cx="1371600" cy="1371600"/>
          </a:xfrm>
          <a:prstGeom prst="ellipse">
            <a:avLst/>
          </a:prstGeom>
          <a:solidFill>
            <a:srgbClr val="98002E"/>
          </a:solidFill>
          <a:ln w="25400" cap="flat" cmpd="sng" algn="ctr">
            <a:noFill/>
            <a:prstDash val="solid"/>
            <a:round/>
            <a:headEnd type="none" w="med" len="med"/>
            <a:tailEnd type="triangle" w="lg" len="med"/>
          </a:ln>
          <a:effectLst/>
        </xdr:spPr>
        <xdr:txBody>
          <a:bodyPr rot="0" spcFirstLastPara="0" vert="horz" wrap="square" lIns="0" tIns="0" rIns="0" bIns="0" numCol="1" spcCol="0" rtlCol="0" fromWordArt="0" anchor="ctr" anchorCtr="0" forceAA="0" compatLnSpc="1">
            <a:prstTxWarp prst="textNoShape">
              <a:avLst/>
            </a:prstTxWarp>
            <a:noAutofit/>
          </a:bodyPr>
          <a:lstStyle>
            <a:defPPr>
              <a:defRPr lang="en-GB"/>
            </a:defPPr>
            <a:lvl1pPr algn="ctr" rtl="0" fontAlgn="base">
              <a:spcBef>
                <a:spcPct val="0"/>
              </a:spcBef>
              <a:spcAft>
                <a:spcPct val="0"/>
              </a:spcAft>
              <a:defRPr sz="1600" b="1" kern="1200">
                <a:solidFill>
                  <a:schemeClr val="bg1"/>
                </a:solidFill>
                <a:latin typeface="Trebuchet MS" pitchFamily="34" charset="0"/>
                <a:ea typeface="+mn-ea"/>
                <a:cs typeface="+mn-cs"/>
              </a:defRPr>
            </a:lvl1pPr>
            <a:lvl2pPr marL="509412" algn="ctr" rtl="0" fontAlgn="base">
              <a:spcBef>
                <a:spcPct val="0"/>
              </a:spcBef>
              <a:spcAft>
                <a:spcPct val="0"/>
              </a:spcAft>
              <a:defRPr sz="1600" b="1" kern="1200">
                <a:solidFill>
                  <a:schemeClr val="bg1"/>
                </a:solidFill>
                <a:latin typeface="Trebuchet MS" pitchFamily="34" charset="0"/>
                <a:ea typeface="+mn-ea"/>
                <a:cs typeface="+mn-cs"/>
              </a:defRPr>
            </a:lvl2pPr>
            <a:lvl3pPr marL="1018824" algn="ctr" rtl="0" fontAlgn="base">
              <a:spcBef>
                <a:spcPct val="0"/>
              </a:spcBef>
              <a:spcAft>
                <a:spcPct val="0"/>
              </a:spcAft>
              <a:defRPr sz="1600" b="1" kern="1200">
                <a:solidFill>
                  <a:schemeClr val="bg1"/>
                </a:solidFill>
                <a:latin typeface="Trebuchet MS" pitchFamily="34" charset="0"/>
                <a:ea typeface="+mn-ea"/>
                <a:cs typeface="+mn-cs"/>
              </a:defRPr>
            </a:lvl3pPr>
            <a:lvl4pPr marL="1528237" algn="ctr" rtl="0" fontAlgn="base">
              <a:spcBef>
                <a:spcPct val="0"/>
              </a:spcBef>
              <a:spcAft>
                <a:spcPct val="0"/>
              </a:spcAft>
              <a:defRPr sz="1600" b="1" kern="1200">
                <a:solidFill>
                  <a:schemeClr val="bg1"/>
                </a:solidFill>
                <a:latin typeface="Trebuchet MS" pitchFamily="34" charset="0"/>
                <a:ea typeface="+mn-ea"/>
                <a:cs typeface="+mn-cs"/>
              </a:defRPr>
            </a:lvl4pPr>
            <a:lvl5pPr marL="2037649" algn="ctr" rtl="0" fontAlgn="base">
              <a:spcBef>
                <a:spcPct val="0"/>
              </a:spcBef>
              <a:spcAft>
                <a:spcPct val="0"/>
              </a:spcAft>
              <a:defRPr sz="1600" b="1" kern="1200">
                <a:solidFill>
                  <a:schemeClr val="bg1"/>
                </a:solidFill>
                <a:latin typeface="Trebuchet MS" pitchFamily="34" charset="0"/>
                <a:ea typeface="+mn-ea"/>
                <a:cs typeface="+mn-cs"/>
              </a:defRPr>
            </a:lvl5pPr>
            <a:lvl6pPr marL="2547061" algn="l" defTabSz="1018824" rtl="0" eaLnBrk="1" latinLnBrk="0" hangingPunct="1">
              <a:defRPr sz="1600" b="1" kern="1200">
                <a:solidFill>
                  <a:schemeClr val="bg1"/>
                </a:solidFill>
                <a:latin typeface="Trebuchet MS" pitchFamily="34" charset="0"/>
                <a:ea typeface="+mn-ea"/>
                <a:cs typeface="+mn-cs"/>
              </a:defRPr>
            </a:lvl6pPr>
            <a:lvl7pPr marL="3056473" algn="l" defTabSz="1018824" rtl="0" eaLnBrk="1" latinLnBrk="0" hangingPunct="1">
              <a:defRPr sz="1600" b="1" kern="1200">
                <a:solidFill>
                  <a:schemeClr val="bg1"/>
                </a:solidFill>
                <a:latin typeface="Trebuchet MS" pitchFamily="34" charset="0"/>
                <a:ea typeface="+mn-ea"/>
                <a:cs typeface="+mn-cs"/>
              </a:defRPr>
            </a:lvl7pPr>
            <a:lvl8pPr marL="3565886" algn="l" defTabSz="1018824" rtl="0" eaLnBrk="1" latinLnBrk="0" hangingPunct="1">
              <a:defRPr sz="1600" b="1" kern="1200">
                <a:solidFill>
                  <a:schemeClr val="bg1"/>
                </a:solidFill>
                <a:latin typeface="Trebuchet MS" pitchFamily="34" charset="0"/>
                <a:ea typeface="+mn-ea"/>
                <a:cs typeface="+mn-cs"/>
              </a:defRPr>
            </a:lvl8pPr>
            <a:lvl9pPr marL="4075298" algn="l" defTabSz="1018824" rtl="0" eaLnBrk="1" latinLnBrk="0" hangingPunct="1">
              <a:defRPr sz="1600" b="1" kern="1200">
                <a:solidFill>
                  <a:schemeClr val="bg1"/>
                </a:solidFill>
                <a:latin typeface="Trebuchet MS" pitchFamily="34" charset="0"/>
                <a:ea typeface="+mn-ea"/>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endParaRPr kumimoji="0" lang="en-US" sz="1400" b="1" i="0" u="none" strike="noStrike" cap="none" normalizeH="0" baseline="0">
              <a:ln>
                <a:noFill/>
              </a:ln>
              <a:solidFill>
                <a:schemeClr val="bg1"/>
              </a:solidFill>
              <a:effectLst/>
              <a:latin typeface="Trebuchet MS" pitchFamily="34" charset="0"/>
            </a:endParaRPr>
          </a:p>
        </xdr:txBody>
      </xdr:sp>
      <xdr:pic>
        <xdr:nvPicPr>
          <xdr:cNvPr id="27" name="Graphic 89">
            <a:extLst>
              <a:ext uri="{FF2B5EF4-FFF2-40B4-BE49-F238E27FC236}">
                <a16:creationId xmlns:a16="http://schemas.microsoft.com/office/drawing/2014/main" id="{A2A3C5C9-AD15-4A0E-A706-AE58C93E690C}"/>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838185" y="7182146"/>
            <a:ext cx="885602" cy="957408"/>
          </a:xfrm>
          <a:prstGeom prst="rect">
            <a:avLst/>
          </a:prstGeom>
        </xdr:spPr>
      </xdr:pic>
    </xdr:grpSp>
    <xdr:clientData/>
  </xdr:twoCellAnchor>
  <xdr:twoCellAnchor editAs="absolute">
    <xdr:from>
      <xdr:col>3</xdr:col>
      <xdr:colOff>209550</xdr:colOff>
      <xdr:row>1</xdr:row>
      <xdr:rowOff>371475</xdr:rowOff>
    </xdr:from>
    <xdr:to>
      <xdr:col>3</xdr:col>
      <xdr:colOff>1123950</xdr:colOff>
      <xdr:row>3</xdr:row>
      <xdr:rowOff>647700</xdr:rowOff>
    </xdr:to>
    <xdr:grpSp>
      <xdr:nvGrpSpPr>
        <xdr:cNvPr id="28" name="Group 27">
          <a:extLst>
            <a:ext uri="{FF2B5EF4-FFF2-40B4-BE49-F238E27FC236}">
              <a16:creationId xmlns:a16="http://schemas.microsoft.com/office/drawing/2014/main" id="{124CD4E8-A524-4317-ACDD-267316532E3D}"/>
            </a:ext>
          </a:extLst>
        </xdr:cNvPr>
        <xdr:cNvGrpSpPr>
          <a:grpSpLocks noChangeAspect="1"/>
        </xdr:cNvGrpSpPr>
      </xdr:nvGrpSpPr>
      <xdr:grpSpPr>
        <a:xfrm>
          <a:off x="4152900" y="657225"/>
          <a:ext cx="914400" cy="914400"/>
          <a:chOff x="560104" y="2289979"/>
          <a:chExt cx="1371600" cy="1371600"/>
        </a:xfrm>
      </xdr:grpSpPr>
      <xdr:sp macro="" textlink="">
        <xdr:nvSpPr>
          <xdr:cNvPr id="29" name="Oval 28">
            <a:extLst>
              <a:ext uri="{FF2B5EF4-FFF2-40B4-BE49-F238E27FC236}">
                <a16:creationId xmlns:a16="http://schemas.microsoft.com/office/drawing/2014/main" id="{1526916A-949B-43CA-BE54-05E27FDD9347}"/>
              </a:ext>
            </a:extLst>
          </xdr:cNvPr>
          <xdr:cNvSpPr/>
        </xdr:nvSpPr>
        <xdr:spPr bwMode="auto">
          <a:xfrm>
            <a:off x="560104" y="2289979"/>
            <a:ext cx="1371600" cy="1371600"/>
          </a:xfrm>
          <a:prstGeom prst="ellipse">
            <a:avLst/>
          </a:prstGeom>
          <a:solidFill>
            <a:schemeClr val="accent1"/>
          </a:solidFill>
          <a:ln w="25400" cap="flat" cmpd="sng" algn="ctr">
            <a:noFill/>
            <a:prstDash val="solid"/>
            <a:round/>
            <a:headEnd type="none" w="med" len="med"/>
            <a:tailEnd type="triangle" w="lg" len="med"/>
          </a:ln>
          <a:effectLst/>
        </xdr:spPr>
        <xdr:txBody>
          <a:bodyPr vert="horz" wrap="square" lIns="0" tIns="0" rIns="0" bIns="0" numCol="1" rtlCol="0" anchor="ctr" anchorCtr="0" compatLnSpc="1">
            <a:prstTxWarp prst="textNoShape">
              <a:avLst/>
            </a:prstTxWarp>
          </a:bodyPr>
          <a:lstStyle>
            <a:defPPr>
              <a:defRPr lang="en-GB"/>
            </a:defPPr>
            <a:lvl1pPr algn="ctr" rtl="0" fontAlgn="base">
              <a:spcBef>
                <a:spcPct val="0"/>
              </a:spcBef>
              <a:spcAft>
                <a:spcPct val="0"/>
              </a:spcAft>
              <a:defRPr sz="1600" b="1" kern="1200">
                <a:solidFill>
                  <a:schemeClr val="bg1"/>
                </a:solidFill>
                <a:latin typeface="Trebuchet MS" pitchFamily="34" charset="0"/>
                <a:ea typeface="+mn-ea"/>
                <a:cs typeface="+mn-cs"/>
              </a:defRPr>
            </a:lvl1pPr>
            <a:lvl2pPr marL="509412" algn="ctr" rtl="0" fontAlgn="base">
              <a:spcBef>
                <a:spcPct val="0"/>
              </a:spcBef>
              <a:spcAft>
                <a:spcPct val="0"/>
              </a:spcAft>
              <a:defRPr sz="1600" b="1" kern="1200">
                <a:solidFill>
                  <a:schemeClr val="bg1"/>
                </a:solidFill>
                <a:latin typeface="Trebuchet MS" pitchFamily="34" charset="0"/>
                <a:ea typeface="+mn-ea"/>
                <a:cs typeface="+mn-cs"/>
              </a:defRPr>
            </a:lvl2pPr>
            <a:lvl3pPr marL="1018824" algn="ctr" rtl="0" fontAlgn="base">
              <a:spcBef>
                <a:spcPct val="0"/>
              </a:spcBef>
              <a:spcAft>
                <a:spcPct val="0"/>
              </a:spcAft>
              <a:defRPr sz="1600" b="1" kern="1200">
                <a:solidFill>
                  <a:schemeClr val="bg1"/>
                </a:solidFill>
                <a:latin typeface="Trebuchet MS" pitchFamily="34" charset="0"/>
                <a:ea typeface="+mn-ea"/>
                <a:cs typeface="+mn-cs"/>
              </a:defRPr>
            </a:lvl3pPr>
            <a:lvl4pPr marL="1528237" algn="ctr" rtl="0" fontAlgn="base">
              <a:spcBef>
                <a:spcPct val="0"/>
              </a:spcBef>
              <a:spcAft>
                <a:spcPct val="0"/>
              </a:spcAft>
              <a:defRPr sz="1600" b="1" kern="1200">
                <a:solidFill>
                  <a:schemeClr val="bg1"/>
                </a:solidFill>
                <a:latin typeface="Trebuchet MS" pitchFamily="34" charset="0"/>
                <a:ea typeface="+mn-ea"/>
                <a:cs typeface="+mn-cs"/>
              </a:defRPr>
            </a:lvl4pPr>
            <a:lvl5pPr marL="2037649" algn="ctr" rtl="0" fontAlgn="base">
              <a:spcBef>
                <a:spcPct val="0"/>
              </a:spcBef>
              <a:spcAft>
                <a:spcPct val="0"/>
              </a:spcAft>
              <a:defRPr sz="1600" b="1" kern="1200">
                <a:solidFill>
                  <a:schemeClr val="bg1"/>
                </a:solidFill>
                <a:latin typeface="Trebuchet MS" pitchFamily="34" charset="0"/>
                <a:ea typeface="+mn-ea"/>
                <a:cs typeface="+mn-cs"/>
              </a:defRPr>
            </a:lvl5pPr>
            <a:lvl6pPr marL="2547061" algn="l" defTabSz="1018824" rtl="0" eaLnBrk="1" latinLnBrk="0" hangingPunct="1">
              <a:defRPr sz="1600" b="1" kern="1200">
                <a:solidFill>
                  <a:schemeClr val="bg1"/>
                </a:solidFill>
                <a:latin typeface="Trebuchet MS" pitchFamily="34" charset="0"/>
                <a:ea typeface="+mn-ea"/>
                <a:cs typeface="+mn-cs"/>
              </a:defRPr>
            </a:lvl6pPr>
            <a:lvl7pPr marL="3056473" algn="l" defTabSz="1018824" rtl="0" eaLnBrk="1" latinLnBrk="0" hangingPunct="1">
              <a:defRPr sz="1600" b="1" kern="1200">
                <a:solidFill>
                  <a:schemeClr val="bg1"/>
                </a:solidFill>
                <a:latin typeface="Trebuchet MS" pitchFamily="34" charset="0"/>
                <a:ea typeface="+mn-ea"/>
                <a:cs typeface="+mn-cs"/>
              </a:defRPr>
            </a:lvl7pPr>
            <a:lvl8pPr marL="3565886" algn="l" defTabSz="1018824" rtl="0" eaLnBrk="1" latinLnBrk="0" hangingPunct="1">
              <a:defRPr sz="1600" b="1" kern="1200">
                <a:solidFill>
                  <a:schemeClr val="bg1"/>
                </a:solidFill>
                <a:latin typeface="Trebuchet MS" pitchFamily="34" charset="0"/>
                <a:ea typeface="+mn-ea"/>
                <a:cs typeface="+mn-cs"/>
              </a:defRPr>
            </a:lvl8pPr>
            <a:lvl9pPr marL="4075298" algn="l" defTabSz="1018824" rtl="0" eaLnBrk="1" latinLnBrk="0" hangingPunct="1">
              <a:defRPr sz="1600" b="1" kern="1200">
                <a:solidFill>
                  <a:schemeClr val="bg1"/>
                </a:solidFill>
                <a:latin typeface="Trebuchet MS" pitchFamily="34" charset="0"/>
                <a:ea typeface="+mn-ea"/>
                <a:cs typeface="+mn-cs"/>
              </a:defRPr>
            </a:lvl9pPr>
          </a:lstStyle>
          <a:p>
            <a:endParaRPr kumimoji="0" lang="en-US" sz="1400" b="1" i="0" u="none" strike="noStrike" cap="none" normalizeH="0" baseline="0">
              <a:ln>
                <a:noFill/>
              </a:ln>
              <a:solidFill>
                <a:schemeClr val="bg1"/>
              </a:solidFill>
              <a:effectLst/>
              <a:latin typeface="Trebuchet MS" pitchFamily="34" charset="0"/>
            </a:endParaRPr>
          </a:p>
        </xdr:txBody>
      </xdr:sp>
      <xdr:pic>
        <xdr:nvPicPr>
          <xdr:cNvPr id="30" name="Graphic 70">
            <a:extLst>
              <a:ext uri="{FF2B5EF4-FFF2-40B4-BE49-F238E27FC236}">
                <a16:creationId xmlns:a16="http://schemas.microsoft.com/office/drawing/2014/main" id="{340C312D-6F16-4AFF-97D5-31F0CF5724BC}"/>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834993" y="2558546"/>
            <a:ext cx="821823" cy="834466"/>
          </a:xfrm>
          <a:prstGeom prst="rect">
            <a:avLst/>
          </a:prstGeom>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8665EC3-A672-4E31-9913-B178E699E6AA}" name="UIData" displayName="UIData" ref="A1:G52" totalsRowShown="0" headerRowDxfId="8" dataDxfId="7">
  <autoFilter ref="A1:G52" xr:uid="{F78E4E6B-E8E8-4FE8-BCF0-D8781EE16C30}"/>
  <sortState xmlns:xlrd2="http://schemas.microsoft.com/office/spreadsheetml/2017/richdata2" ref="A2:G52">
    <sortCondition ref="A1:A52"/>
  </sortState>
  <tableColumns count="7">
    <tableColumn id="1" xr3:uid="{D02FE7B0-A86C-41E1-8DCC-B0BDD6DF34EE}" name="State" dataDxfId="6"/>
    <tableColumn id="7" xr3:uid="{A6F824E6-CDF8-44D3-9D0B-B80EE6A58187}" name="State Abbr" dataDxfId="5"/>
    <tableColumn id="2" xr3:uid="{F880E584-8ADF-4539-8018-3CD99759B369}" name="Unemp Rate" dataDxfId="4"/>
    <tableColumn id="3" xr3:uid="{DA5CB018-9B34-410D-8912-E344DB7125A2}" name="Max Weeks of Benefits" dataDxfId="3"/>
    <tableColumn id="4" xr3:uid="{1011293E-E066-46FE-ACF2-341A147B7B04}" name="Max Weekly Benefits" dataDxfId="2"/>
    <tableColumn id="5" xr3:uid="{87F75221-45A9-4384-8941-BAF1533CA4C4}" name="Max DA Allowance" dataDxfId="1"/>
    <tableColumn id="6" xr3:uid="{DB9DEA5E-4BF6-4EB3-A746-0BE6DB0143B5}" name="Total Weekly Benefi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BDO CVI Colors">
      <a:dk1>
        <a:srgbClr val="F3E8E1"/>
      </a:dk1>
      <a:lt1>
        <a:srgbClr val="FFFFFF"/>
      </a:lt1>
      <a:dk2>
        <a:srgbClr val="685040"/>
      </a:dk2>
      <a:lt2>
        <a:srgbClr val="98002E"/>
      </a:lt2>
      <a:accent1>
        <a:srgbClr val="ED1A3B"/>
      </a:accent1>
      <a:accent2>
        <a:srgbClr val="2EAFA4"/>
      </a:accent2>
      <a:accent3>
        <a:srgbClr val="F3D03E"/>
      </a:accent3>
      <a:accent4>
        <a:srgbClr val="000000"/>
      </a:accent4>
      <a:accent5>
        <a:srgbClr val="F65275"/>
      </a:accent5>
      <a:accent6>
        <a:srgbClr val="62CAE3"/>
      </a:accent6>
      <a:hlink>
        <a:srgbClr val="2EB0A4"/>
      </a:hlink>
      <a:folHlink>
        <a:srgbClr val="62CAE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941C0-49ED-47B6-BA19-B0C81703C721}">
  <sheetPr codeName="Sheet1"/>
  <dimension ref="A1:Y68"/>
  <sheetViews>
    <sheetView showGridLines="0" showRowColHeaders="0" tabSelected="1" zoomScale="120" zoomScaleNormal="120" workbookViewId="0">
      <selection activeCell="C4" sqref="C4"/>
    </sheetView>
  </sheetViews>
  <sheetFormatPr defaultColWidth="0" defaultRowHeight="15" zeroHeight="1" x14ac:dyDescent="0.25"/>
  <cols>
    <col min="1" max="1" width="5.7109375" style="4" customWidth="1"/>
    <col min="2" max="2" width="42.7109375" style="4" customWidth="1"/>
    <col min="3" max="3" width="19.5703125" style="4" customWidth="1"/>
    <col min="4" max="4" width="27.7109375" style="4" customWidth="1"/>
    <col min="5" max="5" width="5.7109375" style="4" customWidth="1"/>
    <col min="6" max="6" width="5.7109375" style="4" hidden="1" customWidth="1"/>
    <col min="7" max="8" width="18.42578125" style="4" hidden="1" customWidth="1"/>
    <col min="9" max="12" width="6.5703125" style="4" hidden="1" customWidth="1"/>
    <col min="13" max="13" width="8.5703125" style="4" hidden="1" customWidth="1"/>
    <col min="14" max="14" width="31.42578125" style="4" hidden="1" customWidth="1"/>
    <col min="15" max="15" width="31.7109375" style="4" hidden="1" customWidth="1"/>
    <col min="16" max="21" width="9.140625" style="4" hidden="1" customWidth="1"/>
    <col min="22" max="25" width="14.85546875" style="4" hidden="1" customWidth="1"/>
    <col min="26" max="16384" width="9.140625" style="4" hidden="1"/>
  </cols>
  <sheetData>
    <row r="1" spans="1:15" ht="50.1" customHeight="1" x14ac:dyDescent="0.25">
      <c r="A1" s="83" t="s">
        <v>39</v>
      </c>
      <c r="B1" s="83"/>
      <c r="C1" s="83"/>
      <c r="D1" s="83"/>
      <c r="E1" s="83"/>
      <c r="F1" s="28"/>
    </row>
    <row r="2" spans="1:15" ht="38.25" customHeight="1" x14ac:dyDescent="0.25">
      <c r="B2" s="84" t="s">
        <v>217</v>
      </c>
      <c r="C2" s="85"/>
      <c r="D2" s="86"/>
      <c r="E2" s="26" t="str">
        <f>VersionText</f>
        <v>v.1.03</v>
      </c>
      <c r="F2" s="26"/>
      <c r="G2" s="44" t="s">
        <v>187</v>
      </c>
      <c r="H2" s="44" t="s">
        <v>190</v>
      </c>
      <c r="I2" s="45" t="s">
        <v>199</v>
      </c>
      <c r="J2" s="45" t="s">
        <v>186</v>
      </c>
      <c r="K2" s="45" t="s">
        <v>184</v>
      </c>
      <c r="L2" s="45" t="s">
        <v>185</v>
      </c>
      <c r="M2" s="45" t="s">
        <v>176</v>
      </c>
      <c r="N2" s="46" t="s">
        <v>198</v>
      </c>
      <c r="O2" s="46" t="s">
        <v>197</v>
      </c>
    </row>
    <row r="3" spans="1:15" ht="15" customHeight="1" x14ac:dyDescent="0.25">
      <c r="B3" s="87" t="str">
        <f>IF(IsComplete=TRUE,MessageComplete,MessageNotComplete)</f>
        <v>Questionnaire is either not complete or has validation errors.</v>
      </c>
      <c r="C3" s="88"/>
      <c r="D3" s="89"/>
      <c r="E3" s="29"/>
      <c r="F3" s="29"/>
      <c r="G3" s="35"/>
      <c r="H3" s="35"/>
      <c r="I3" s="35"/>
      <c r="J3" s="35"/>
      <c r="K3" s="35"/>
      <c r="L3" s="35"/>
      <c r="M3" s="35"/>
      <c r="N3" s="35"/>
      <c r="O3" s="35"/>
    </row>
    <row r="4" spans="1:15" ht="30" x14ac:dyDescent="0.25">
      <c r="B4" s="24" t="s">
        <v>226</v>
      </c>
      <c r="C4" s="57"/>
      <c r="D4" s="30" t="str">
        <f t="shared" ref="D4:D16" si="0">IF(M4=FALSE,N4,"")</f>
        <v>Please enter the company name</v>
      </c>
      <c r="G4" s="32" t="str">
        <f>TRIM(UPPER(CompanyName))</f>
        <v/>
      </c>
      <c r="H4" s="32" t="b">
        <v>1</v>
      </c>
      <c r="I4" s="32">
        <f>IF(H4=TRUE,IF(G4&gt;"0",0,1),0)</f>
        <v>1</v>
      </c>
      <c r="J4" s="47"/>
      <c r="K4" s="47"/>
      <c r="L4" s="47"/>
      <c r="M4" s="48" t="b">
        <f>IF(SUM(I4:L4)&gt;0,FALSE,TRUE)</f>
        <v>0</v>
      </c>
      <c r="N4" s="33" t="s">
        <v>172</v>
      </c>
      <c r="O4" s="34" t="s">
        <v>5</v>
      </c>
    </row>
    <row r="5" spans="1:15" ht="30" x14ac:dyDescent="0.25">
      <c r="B5" s="24" t="s">
        <v>227</v>
      </c>
      <c r="C5" s="73"/>
      <c r="D5" s="30" t="str">
        <f t="shared" si="0"/>
        <v>Please enter an integer</v>
      </c>
      <c r="G5" s="32" t="str">
        <f>TRIM(UPPER(NumberOfEmployees))</f>
        <v/>
      </c>
      <c r="H5" s="32" t="b">
        <v>1</v>
      </c>
      <c r="I5" s="32">
        <f t="shared" ref="I5:I10" si="1">IF(H5=TRUE,IF(G5&gt;"0",0,1),0)</f>
        <v>1</v>
      </c>
      <c r="J5" s="32">
        <f>IFERROR(IF(INT(VALUE(G5))=VALUE(G5),0,1),1)</f>
        <v>1</v>
      </c>
      <c r="K5" s="47"/>
      <c r="L5" s="47"/>
      <c r="M5" s="48" t="b">
        <f t="shared" ref="M5:M18" si="2">IF(SUM(I5:L5)&gt;0,FALSE,TRUE)</f>
        <v>0</v>
      </c>
      <c r="N5" s="33" t="s">
        <v>173</v>
      </c>
      <c r="O5" s="34" t="s">
        <v>6</v>
      </c>
    </row>
    <row r="6" spans="1:15" ht="30" x14ac:dyDescent="0.25">
      <c r="B6" s="24" t="s">
        <v>268</v>
      </c>
      <c r="C6" s="73"/>
      <c r="D6" s="30" t="str">
        <f t="shared" si="0"/>
        <v>Please enter an integer</v>
      </c>
      <c r="G6" s="32" t="str">
        <f>UPPER(TRIM(AverageMonthlyGrossPayrollExpense))</f>
        <v/>
      </c>
      <c r="H6" s="32" t="b">
        <v>1</v>
      </c>
      <c r="I6" s="32">
        <f t="shared" ref="I6" si="3">IF(H6=TRUE,IF(G6&gt;"0",0,1),0)</f>
        <v>1</v>
      </c>
      <c r="J6" s="32">
        <f>IFERROR(IF(INT(VALUE(G6))=VALUE(G6),0,1),1)</f>
        <v>1</v>
      </c>
      <c r="K6" s="47"/>
      <c r="L6" s="47"/>
      <c r="M6" s="48" t="b">
        <f t="shared" ref="M6" si="4">IF(SUM(I6:L6)&gt;0,FALSE,TRUE)</f>
        <v>0</v>
      </c>
      <c r="N6" s="33" t="s">
        <v>173</v>
      </c>
      <c r="O6" s="34" t="s">
        <v>243</v>
      </c>
    </row>
    <row r="7" spans="1:15" ht="45" x14ac:dyDescent="0.25">
      <c r="B7" s="24" t="s">
        <v>244</v>
      </c>
      <c r="C7" s="58"/>
      <c r="D7" s="30" t="str">
        <f t="shared" si="0"/>
        <v>Please enter "Yes" or "No"</v>
      </c>
      <c r="G7" s="32" t="str">
        <f>TRIM(UPPER(NumberOfFullTimeEmployeesGT100))</f>
        <v/>
      </c>
      <c r="H7" s="32" t="b">
        <v>1</v>
      </c>
      <c r="I7" s="32">
        <f t="shared" si="1"/>
        <v>1</v>
      </c>
      <c r="J7" s="47"/>
      <c r="K7" s="32">
        <f>IF(OR(G7="YES",G7="NO"),0,1)</f>
        <v>1</v>
      </c>
      <c r="L7" s="47"/>
      <c r="M7" s="48" t="b">
        <f t="shared" si="2"/>
        <v>0</v>
      </c>
      <c r="N7" s="33" t="s">
        <v>174</v>
      </c>
      <c r="O7" s="34" t="s">
        <v>247</v>
      </c>
    </row>
    <row r="8" spans="1:15" ht="60" x14ac:dyDescent="0.25">
      <c r="B8" s="24" t="s">
        <v>245</v>
      </c>
      <c r="C8" s="58"/>
      <c r="D8" s="30" t="str">
        <f t="shared" si="0"/>
        <v>Please enter "Yes" or "No"</v>
      </c>
      <c r="G8" s="32" t="str">
        <f>TRIM(UPPER(IsRestaurant))</f>
        <v/>
      </c>
      <c r="H8" s="32" t="b">
        <v>1</v>
      </c>
      <c r="I8" s="32">
        <f t="shared" si="1"/>
        <v>1</v>
      </c>
      <c r="J8" s="47"/>
      <c r="K8" s="32">
        <f>IF(OR(G8="YES",G8="NO"),0,1)</f>
        <v>1</v>
      </c>
      <c r="L8" s="47"/>
      <c r="M8" s="48" t="b">
        <f t="shared" si="2"/>
        <v>0</v>
      </c>
      <c r="N8" s="33" t="s">
        <v>174</v>
      </c>
      <c r="O8" s="34" t="s">
        <v>7</v>
      </c>
    </row>
    <row r="9" spans="1:15" ht="60" x14ac:dyDescent="0.25">
      <c r="B9" s="24" t="s">
        <v>251</v>
      </c>
      <c r="C9" s="58"/>
      <c r="D9" s="30" t="str">
        <f t="shared" si="0"/>
        <v>Please enter "Yes" or "No"</v>
      </c>
      <c r="G9" s="32" t="str">
        <f>TRIM(UPPER(OperationsSuspended))</f>
        <v/>
      </c>
      <c r="H9" s="32" t="b">
        <v>1</v>
      </c>
      <c r="I9" s="32">
        <f t="shared" si="1"/>
        <v>1</v>
      </c>
      <c r="J9" s="47"/>
      <c r="K9" s="32">
        <f>IF(OR(G9="YES",G9="NO"),0,1)</f>
        <v>1</v>
      </c>
      <c r="L9" s="47"/>
      <c r="M9" s="48" t="b">
        <f t="shared" si="2"/>
        <v>0</v>
      </c>
      <c r="N9" s="33" t="s">
        <v>174</v>
      </c>
      <c r="O9" s="34" t="s">
        <v>10</v>
      </c>
    </row>
    <row r="10" spans="1:15" ht="60" x14ac:dyDescent="0.25">
      <c r="B10" s="24" t="s">
        <v>266</v>
      </c>
      <c r="C10" s="58"/>
      <c r="D10" s="30" t="str">
        <f t="shared" si="0"/>
        <v>Please enter "Yes" or "No"</v>
      </c>
      <c r="G10" s="32" t="str">
        <f>TRIM(UPPER(GrossReceiptsDeclined))</f>
        <v/>
      </c>
      <c r="H10" s="32" t="b">
        <v>1</v>
      </c>
      <c r="I10" s="32">
        <f t="shared" si="1"/>
        <v>1</v>
      </c>
      <c r="J10" s="47"/>
      <c r="K10" s="32">
        <f>IF(OR(G10="YES",G10="NO"),0,1)</f>
        <v>1</v>
      </c>
      <c r="L10" s="47"/>
      <c r="M10" s="48" t="b">
        <f t="shared" si="2"/>
        <v>0</v>
      </c>
      <c r="N10" s="33" t="s">
        <v>174</v>
      </c>
      <c r="O10" s="34" t="s">
        <v>11</v>
      </c>
    </row>
    <row r="11" spans="1:15" ht="60" x14ac:dyDescent="0.25">
      <c r="B11" s="24" t="s">
        <v>246</v>
      </c>
      <c r="C11" s="73"/>
      <c r="D11" s="30" t="str">
        <f>IF(M11=FALSE,N11,"")</f>
        <v/>
      </c>
      <c r="G11" s="32" t="str">
        <f>TRIM(UPPER(EmployeesContinuingToPay))</f>
        <v/>
      </c>
      <c r="H11" s="32" t="b">
        <f>OR(GrossReceiptsDeclined="YES",OperationsSuspended="Yes")</f>
        <v>0</v>
      </c>
      <c r="I11" s="32">
        <f>IF(H11=TRUE,IF(G11&gt;"",0,1),0)</f>
        <v>0</v>
      </c>
      <c r="J11" s="32">
        <f t="shared" ref="J11:J16" si="5">IFERROR(IF(INT(VALUE(G11))=VALUE(G11),0,1),1)</f>
        <v>1</v>
      </c>
      <c r="K11" s="47"/>
      <c r="L11" s="47"/>
      <c r="M11" s="48" t="b">
        <f>IF(H11=FALSE, TRUE, IF(AND(I11=0,J11=0),TRUE,FALSE))</f>
        <v>1</v>
      </c>
      <c r="N11" s="33" t="s">
        <v>173</v>
      </c>
      <c r="O11" s="34" t="s">
        <v>228</v>
      </c>
    </row>
    <row r="12" spans="1:15" ht="45" x14ac:dyDescent="0.25">
      <c r="B12" s="24" t="s">
        <v>252</v>
      </c>
      <c r="C12" s="73"/>
      <c r="D12" s="30" t="str">
        <f>IF(M12=FALSE,N12,"")</f>
        <v/>
      </c>
      <c r="G12" s="32" t="str">
        <f>TRIM(UPPER(AverageMonthlySalaryOfImpacted))</f>
        <v/>
      </c>
      <c r="H12" s="32" t="b">
        <f>OR(GrossReceiptsDeclined="YES",OperationsSuspended="Yes")</f>
        <v>0</v>
      </c>
      <c r="I12" s="32">
        <f t="shared" ref="I12" si="6">IF(H12=TRUE,IF(G12&gt;"0",0,1),0)</f>
        <v>0</v>
      </c>
      <c r="J12" s="32">
        <f t="shared" si="5"/>
        <v>1</v>
      </c>
      <c r="K12" s="47"/>
      <c r="L12" s="47"/>
      <c r="M12" s="48" t="b">
        <f>IF(H12=FALSE, TRUE, IF(AND(I12=0,J12=0),TRUE,FALSE))</f>
        <v>1</v>
      </c>
      <c r="N12" s="33" t="s">
        <v>173</v>
      </c>
      <c r="O12" s="40" t="s">
        <v>14</v>
      </c>
    </row>
    <row r="13" spans="1:15" ht="60" x14ac:dyDescent="0.25">
      <c r="B13" s="24" t="s">
        <v>248</v>
      </c>
      <c r="C13" s="73"/>
      <c r="D13" s="30" t="str">
        <f>IF(M13=FALSE,N13,"")</f>
        <v/>
      </c>
      <c r="G13" s="32" t="str">
        <f>TRIM(UPPER(EmployeesNotInService))</f>
        <v/>
      </c>
      <c r="H13" s="32" t="b">
        <f>OR(GrossReceiptsDeclined="YES",OperationsSuspended="Yes")</f>
        <v>0</v>
      </c>
      <c r="I13" s="32">
        <f>IF(H13=TRUE,IF(G13&gt;"",0,1),0)</f>
        <v>0</v>
      </c>
      <c r="J13" s="32">
        <f t="shared" si="5"/>
        <v>1</v>
      </c>
      <c r="K13" s="47"/>
      <c r="L13" s="47"/>
      <c r="M13" s="48" t="b">
        <f>IF(H13=FALSE, TRUE, IF(AND(I13=0,J13=0),TRUE,FALSE))</f>
        <v>1</v>
      </c>
      <c r="N13" s="33" t="s">
        <v>173</v>
      </c>
      <c r="O13" s="34" t="s">
        <v>13</v>
      </c>
    </row>
    <row r="14" spans="1:15" ht="105" x14ac:dyDescent="0.25">
      <c r="B14" s="24" t="s">
        <v>253</v>
      </c>
      <c r="C14" s="73"/>
      <c r="D14" s="30" t="str">
        <f t="shared" si="0"/>
        <v>Please enter an integer</v>
      </c>
      <c r="G14" s="32" t="str">
        <f>TRIM(UPPER(NumberOfEmployeesSick))</f>
        <v/>
      </c>
      <c r="H14" s="32" t="b">
        <v>1</v>
      </c>
      <c r="I14" s="32">
        <f>IF(H14=TRUE,IF(G14&gt;"",0,1),0)</f>
        <v>1</v>
      </c>
      <c r="J14" s="32">
        <f t="shared" si="5"/>
        <v>1</v>
      </c>
      <c r="K14" s="47"/>
      <c r="L14" s="47"/>
      <c r="M14" s="48" t="b">
        <f t="shared" si="2"/>
        <v>0</v>
      </c>
      <c r="N14" s="33" t="s">
        <v>173</v>
      </c>
      <c r="O14" s="34" t="s">
        <v>15</v>
      </c>
    </row>
    <row r="15" spans="1:15" ht="120" x14ac:dyDescent="0.25">
      <c r="B15" s="24" t="s">
        <v>255</v>
      </c>
      <c r="C15" s="73"/>
      <c r="D15" s="30" t="str">
        <f t="shared" si="0"/>
        <v>Please enter an integer</v>
      </c>
      <c r="G15" s="32" t="str">
        <f>TRIM(UPPER(NumberOfEmployeesCaring))</f>
        <v/>
      </c>
      <c r="H15" s="32" t="b">
        <v>1</v>
      </c>
      <c r="I15" s="32">
        <f>IF(H15=TRUE,IF(G15&gt;"",0,1),0)</f>
        <v>1</v>
      </c>
      <c r="J15" s="32">
        <f t="shared" si="5"/>
        <v>1</v>
      </c>
      <c r="K15" s="47"/>
      <c r="L15" s="47"/>
      <c r="M15" s="48" t="b">
        <f t="shared" ref="M15" si="7">IF(SUM(I15:L15)&gt;0,FALSE,TRUE)</f>
        <v>0</v>
      </c>
      <c r="N15" s="33" t="s">
        <v>173</v>
      </c>
      <c r="O15" s="34" t="s">
        <v>242</v>
      </c>
    </row>
    <row r="16" spans="1:15" ht="75" x14ac:dyDescent="0.25">
      <c r="B16" s="24" t="s">
        <v>254</v>
      </c>
      <c r="C16" s="73"/>
      <c r="D16" s="30" t="str">
        <f t="shared" si="0"/>
        <v>Please enter an integer</v>
      </c>
      <c r="G16" s="32" t="str">
        <f>TRIM(UPPER(NumberOfEmployeesFMLA))</f>
        <v/>
      </c>
      <c r="H16" s="32" t="b">
        <v>1</v>
      </c>
      <c r="I16" s="32">
        <f>IF(H16=TRUE,IF(G16&gt;"",0,1),0)</f>
        <v>1</v>
      </c>
      <c r="J16" s="32">
        <f t="shared" si="5"/>
        <v>1</v>
      </c>
      <c r="K16" s="47"/>
      <c r="L16" s="47"/>
      <c r="M16" s="48" t="b">
        <f t="shared" si="2"/>
        <v>0</v>
      </c>
      <c r="N16" s="33" t="s">
        <v>173</v>
      </c>
      <c r="O16" s="34" t="s">
        <v>16</v>
      </c>
    </row>
    <row r="17" spans="2:15" ht="30" customHeight="1" x14ac:dyDescent="0.25">
      <c r="B17" s="74" t="s">
        <v>249</v>
      </c>
      <c r="C17" s="75"/>
      <c r="D17" s="76"/>
      <c r="G17" s="36"/>
      <c r="H17" s="36"/>
      <c r="I17" s="37"/>
      <c r="J17" s="37"/>
      <c r="K17" s="37"/>
      <c r="L17" s="37"/>
      <c r="M17" s="37"/>
      <c r="N17" s="35"/>
      <c r="O17" s="38"/>
    </row>
    <row r="18" spans="2:15" ht="45" customHeight="1" x14ac:dyDescent="0.25">
      <c r="B18" s="21">
        <v>1</v>
      </c>
      <c r="C18" s="58"/>
      <c r="D18" s="31" t="str">
        <f t="shared" ref="D18:D22" si="8">IF(M18=FALSE,N18,"")</f>
        <v>Please enter (at least one) full state name or state abbreviation</v>
      </c>
      <c r="G18" s="32" t="str">
        <f>TRIM(UPPER(State1))</f>
        <v/>
      </c>
      <c r="H18" s="32" t="b">
        <v>1</v>
      </c>
      <c r="I18" s="32">
        <f t="shared" ref="I18:I22" si="9">IF(G18&gt;"0",0,1)</f>
        <v>1</v>
      </c>
      <c r="J18" s="47"/>
      <c r="K18" s="47"/>
      <c r="L18" s="32">
        <f>IF(AND(ISNA(INDEX(UIData[State],MATCH(Questionnaire!G18,UIData[State],0))),ISNA(INDEX(UIData[State],MATCH(Questionnaire!G18,UIData[State Abbr],0)))),1,0)</f>
        <v>1</v>
      </c>
      <c r="M18" s="48" t="b">
        <f t="shared" si="2"/>
        <v>0</v>
      </c>
      <c r="N18" s="39" t="s">
        <v>188</v>
      </c>
      <c r="O18" s="40" t="s">
        <v>17</v>
      </c>
    </row>
    <row r="19" spans="2:15" ht="45" x14ac:dyDescent="0.25">
      <c r="B19" s="21">
        <v>2</v>
      </c>
      <c r="C19" s="58"/>
      <c r="D19" s="31" t="str">
        <f t="shared" si="8"/>
        <v/>
      </c>
      <c r="G19" s="32" t="str">
        <f>TRIM(UPPER(State2))</f>
        <v/>
      </c>
      <c r="H19" s="32" t="b">
        <v>0</v>
      </c>
      <c r="I19" s="32">
        <f t="shared" si="9"/>
        <v>1</v>
      </c>
      <c r="J19" s="47"/>
      <c r="K19" s="47"/>
      <c r="L19" s="32">
        <f>IF(AND(ISNA(INDEX(UIData[State],MATCH(Questionnaire!G19,UIData[State],0))),ISNA(INDEX(UIData[State],MATCH(Questionnaire!G19,UIData[State Abbr],0)))),1,0)</f>
        <v>1</v>
      </c>
      <c r="M19" s="48" t="b">
        <f>IF(I19=0,IF(L19=1,FALSE,TRUE), TRUE)</f>
        <v>1</v>
      </c>
      <c r="N19" s="39" t="s">
        <v>200</v>
      </c>
      <c r="O19" s="40" t="s">
        <v>18</v>
      </c>
    </row>
    <row r="20" spans="2:15" ht="45" x14ac:dyDescent="0.25">
      <c r="B20" s="21">
        <v>3</v>
      </c>
      <c r="C20" s="58"/>
      <c r="D20" s="31" t="str">
        <f t="shared" si="8"/>
        <v/>
      </c>
      <c r="G20" s="32" t="str">
        <f>TRIM(UPPER(State3))</f>
        <v/>
      </c>
      <c r="H20" s="32" t="b">
        <v>0</v>
      </c>
      <c r="I20" s="32">
        <f t="shared" si="9"/>
        <v>1</v>
      </c>
      <c r="J20" s="47"/>
      <c r="K20" s="47"/>
      <c r="L20" s="32">
        <f>IF(AND(ISNA(INDEX(UIData[State],MATCH(Questionnaire!G20,UIData[State],0))),ISNA(INDEX(UIData[State],MATCH(Questionnaire!G20,UIData[State Abbr],0)))),1,0)</f>
        <v>1</v>
      </c>
      <c r="M20" s="48" t="b">
        <f>IF(I20=0,IF(L20=1,FALSE,TRUE), TRUE)</f>
        <v>1</v>
      </c>
      <c r="N20" s="39" t="s">
        <v>200</v>
      </c>
      <c r="O20" s="40" t="s">
        <v>19</v>
      </c>
    </row>
    <row r="21" spans="2:15" ht="45" x14ac:dyDescent="0.25">
      <c r="B21" s="21">
        <v>4</v>
      </c>
      <c r="C21" s="58"/>
      <c r="D21" s="31" t="str">
        <f t="shared" si="8"/>
        <v/>
      </c>
      <c r="G21" s="32" t="str">
        <f>TRIM(UPPER(State4))</f>
        <v/>
      </c>
      <c r="H21" s="32" t="b">
        <v>0</v>
      </c>
      <c r="I21" s="32">
        <f t="shared" si="9"/>
        <v>1</v>
      </c>
      <c r="J21" s="47"/>
      <c r="K21" s="47"/>
      <c r="L21" s="32">
        <f>IF(AND(ISNA(INDEX(UIData[State],MATCH(Questionnaire!G21,UIData[State],0))),ISNA(INDEX(UIData[State],MATCH(Questionnaire!G21,UIData[State Abbr],0)))),1,0)</f>
        <v>1</v>
      </c>
      <c r="M21" s="48" t="b">
        <f>IF(I21=0,IF(L21=1,FALSE,TRUE), TRUE)</f>
        <v>1</v>
      </c>
      <c r="N21" s="39" t="s">
        <v>200</v>
      </c>
      <c r="O21" s="40" t="s">
        <v>20</v>
      </c>
    </row>
    <row r="22" spans="2:15" ht="45" x14ac:dyDescent="0.25">
      <c r="B22" s="21">
        <v>5</v>
      </c>
      <c r="C22" s="58"/>
      <c r="D22" s="31" t="str">
        <f t="shared" si="8"/>
        <v/>
      </c>
      <c r="G22" s="32" t="str">
        <f>TRIM(UPPER(State5))</f>
        <v/>
      </c>
      <c r="H22" s="32" t="b">
        <v>0</v>
      </c>
      <c r="I22" s="32">
        <f t="shared" si="9"/>
        <v>1</v>
      </c>
      <c r="J22" s="47"/>
      <c r="K22" s="47"/>
      <c r="L22" s="32">
        <f>IF(AND(ISNA(INDEX(UIData[State],MATCH(Questionnaire!G22,UIData[State],0))),ISNA(INDEX(UIData[State],MATCH(Questionnaire!G22,UIData[State Abbr],0)))),1,0)</f>
        <v>1</v>
      </c>
      <c r="M22" s="48" t="b">
        <f>IF(I22=0,IF(L22=1,FALSE,TRUE), TRUE)</f>
        <v>1</v>
      </c>
      <c r="N22" s="39" t="s">
        <v>200</v>
      </c>
      <c r="O22" s="40" t="s">
        <v>21</v>
      </c>
    </row>
    <row r="23" spans="2:15" x14ac:dyDescent="0.25">
      <c r="G23" s="36"/>
      <c r="H23" s="36"/>
      <c r="I23" s="37"/>
      <c r="J23" s="37"/>
      <c r="K23" s="37"/>
      <c r="L23" s="37"/>
      <c r="M23" s="37"/>
      <c r="N23" s="35"/>
      <c r="O23" s="38"/>
    </row>
    <row r="24" spans="2:15" ht="30" customHeight="1" x14ac:dyDescent="0.25">
      <c r="B24" s="74" t="s">
        <v>250</v>
      </c>
      <c r="C24" s="75"/>
      <c r="D24" s="76"/>
      <c r="G24" s="36"/>
      <c r="H24" s="36"/>
      <c r="I24" s="37"/>
      <c r="J24" s="37"/>
      <c r="K24" s="37"/>
      <c r="L24" s="37"/>
      <c r="M24" s="37"/>
      <c r="N24" s="35"/>
      <c r="O24" s="38"/>
    </row>
    <row r="25" spans="2:15" x14ac:dyDescent="0.25">
      <c r="B25" s="22" t="s">
        <v>26</v>
      </c>
      <c r="C25" s="59"/>
      <c r="D25" s="30" t="str">
        <f>IF(M25=FALSE,N25,"")</f>
        <v>Please enter an integer</v>
      </c>
      <c r="G25" s="41" t="str">
        <f>TRIM(UPPER(Payroll))</f>
        <v/>
      </c>
      <c r="H25" s="32" t="b">
        <v>1</v>
      </c>
      <c r="I25" s="32">
        <f>IF(H25=TRUE,IF(G25&gt;"",0,1),0)</f>
        <v>1</v>
      </c>
      <c r="J25" s="32">
        <f>IFERROR(IF(INT(VALUE(G25))=VALUE(G25),0,1),1)</f>
        <v>1</v>
      </c>
      <c r="K25" s="47"/>
      <c r="L25" s="47"/>
      <c r="M25" s="48" t="b">
        <f t="shared" ref="M25" si="10">IF(SUM(I25:L25)&gt;0,FALSE,TRUE)</f>
        <v>0</v>
      </c>
      <c r="N25" s="33" t="s">
        <v>173</v>
      </c>
      <c r="O25" s="40" t="s">
        <v>31</v>
      </c>
    </row>
    <row r="26" spans="2:15" x14ac:dyDescent="0.25">
      <c r="B26" s="80" t="s">
        <v>27</v>
      </c>
      <c r="C26" s="81"/>
      <c r="D26" s="82"/>
      <c r="G26" s="42"/>
      <c r="H26" s="43"/>
      <c r="I26" s="43"/>
      <c r="J26" s="43"/>
      <c r="K26" s="43"/>
      <c r="L26" s="43"/>
      <c r="M26" s="43"/>
      <c r="N26" s="35"/>
      <c r="O26" s="38"/>
    </row>
    <row r="27" spans="2:15" x14ac:dyDescent="0.25">
      <c r="B27" s="23" t="s">
        <v>211</v>
      </c>
      <c r="C27" s="59"/>
      <c r="D27" s="30" t="str">
        <f>IF(M27=FALSE,N27,"")</f>
        <v>Please enter an integer</v>
      </c>
      <c r="G27" s="41" t="str">
        <f>TRIM(UPPER(GroupHealthCare))</f>
        <v/>
      </c>
      <c r="H27" s="32" t="b">
        <v>1</v>
      </c>
      <c r="I27" s="32">
        <f>IF(H27=TRUE,IF(G27&gt;"",0,1),0)</f>
        <v>1</v>
      </c>
      <c r="J27" s="32">
        <f>IFERROR(IF(INT(VALUE(G27))=VALUE(G27),0,1),1)</f>
        <v>1</v>
      </c>
      <c r="K27" s="47"/>
      <c r="L27" s="47"/>
      <c r="M27" s="48" t="b">
        <f t="shared" ref="M27:M31" si="11">IF(SUM(I27:L27)&gt;0,FALSE,TRUE)</f>
        <v>0</v>
      </c>
      <c r="N27" s="33" t="s">
        <v>173</v>
      </c>
      <c r="O27" s="40" t="s">
        <v>32</v>
      </c>
    </row>
    <row r="28" spans="2:15" x14ac:dyDescent="0.25">
      <c r="B28" s="23" t="s">
        <v>212</v>
      </c>
      <c r="C28" s="60"/>
      <c r="D28" s="30" t="str">
        <f>IF(M28=FALSE,N28,"")</f>
        <v>Please enter an integer</v>
      </c>
      <c r="G28" s="41" t="str">
        <f>TRIM(UPPER(DentalInsurance))</f>
        <v/>
      </c>
      <c r="H28" s="32" t="b">
        <v>1</v>
      </c>
      <c r="I28" s="32">
        <f>IF(H28=TRUE,IF(G28&gt;"",0,1),0)</f>
        <v>1</v>
      </c>
      <c r="J28" s="32">
        <f t="shared" ref="J28:J31" si="12">IFERROR(IF(INT(VALUE(G28))=VALUE(G28),0,1),1)</f>
        <v>1</v>
      </c>
      <c r="K28" s="47"/>
      <c r="L28" s="47"/>
      <c r="M28" s="48" t="b">
        <f t="shared" si="11"/>
        <v>0</v>
      </c>
      <c r="N28" s="33" t="s">
        <v>173</v>
      </c>
      <c r="O28" s="40" t="s">
        <v>33</v>
      </c>
    </row>
    <row r="29" spans="2:15" x14ac:dyDescent="0.25">
      <c r="B29" s="23" t="s">
        <v>213</v>
      </c>
      <c r="C29" s="60"/>
      <c r="D29" s="30" t="str">
        <f>IF(M29=FALSE,N29,"")</f>
        <v>Please enter an integer</v>
      </c>
      <c r="G29" s="41" t="str">
        <f>TRIM(UPPER(WorkersCompInsurance))</f>
        <v/>
      </c>
      <c r="H29" s="32" t="b">
        <v>1</v>
      </c>
      <c r="I29" s="32">
        <f>IF(H29=TRUE,IF(G29&gt;"",0,1),0)</f>
        <v>1</v>
      </c>
      <c r="J29" s="32">
        <f t="shared" si="12"/>
        <v>1</v>
      </c>
      <c r="K29" s="47"/>
      <c r="L29" s="47"/>
      <c r="M29" s="48" t="b">
        <f t="shared" si="11"/>
        <v>0</v>
      </c>
      <c r="N29" s="33" t="s">
        <v>173</v>
      </c>
      <c r="O29" s="40" t="s">
        <v>36</v>
      </c>
    </row>
    <row r="30" spans="2:15" x14ac:dyDescent="0.25">
      <c r="B30" s="22" t="s">
        <v>28</v>
      </c>
      <c r="C30" s="60"/>
      <c r="D30" s="30" t="str">
        <f>IF(M30=FALSE,N30,"")</f>
        <v>Please enter an integer</v>
      </c>
      <c r="G30" s="41" t="str">
        <f>TRIM(UPPER(SALTAssessed))</f>
        <v/>
      </c>
      <c r="H30" s="32" t="b">
        <v>1</v>
      </c>
      <c r="I30" s="32">
        <f>IF(H30=TRUE,IF(G30&gt;"",0,1),0)</f>
        <v>1</v>
      </c>
      <c r="J30" s="32">
        <f t="shared" si="12"/>
        <v>1</v>
      </c>
      <c r="K30" s="47"/>
      <c r="L30" s="47"/>
      <c r="M30" s="48" t="b">
        <f t="shared" si="11"/>
        <v>0</v>
      </c>
      <c r="N30" s="33" t="s">
        <v>173</v>
      </c>
      <c r="O30" s="40" t="s">
        <v>37</v>
      </c>
    </row>
    <row r="31" spans="2:15" x14ac:dyDescent="0.25">
      <c r="B31" s="22" t="s">
        <v>29</v>
      </c>
      <c r="C31" s="60"/>
      <c r="D31" s="30" t="str">
        <f>IF(M31=FALSE,N31,"")</f>
        <v>Please enter an integer</v>
      </c>
      <c r="G31" s="41" t="str">
        <f>TRIM(UPPER(Subcontractors))</f>
        <v/>
      </c>
      <c r="H31" s="32" t="b">
        <v>1</v>
      </c>
      <c r="I31" s="32">
        <f>IF(H31=TRUE,IF(G31&gt;"",0,1),0)</f>
        <v>1</v>
      </c>
      <c r="J31" s="32">
        <f t="shared" si="12"/>
        <v>1</v>
      </c>
      <c r="K31" s="47"/>
      <c r="L31" s="47"/>
      <c r="M31" s="48" t="b">
        <f t="shared" si="11"/>
        <v>0</v>
      </c>
      <c r="N31" s="33" t="s">
        <v>173</v>
      </c>
      <c r="O31" s="40" t="s">
        <v>29</v>
      </c>
    </row>
    <row r="32" spans="2:15" x14ac:dyDescent="0.25">
      <c r="B32" s="80" t="s">
        <v>30</v>
      </c>
      <c r="C32" s="81"/>
      <c r="D32" s="82"/>
      <c r="G32" s="42"/>
      <c r="H32" s="43"/>
      <c r="I32" s="43"/>
      <c r="J32" s="43"/>
      <c r="K32" s="43"/>
      <c r="L32" s="43"/>
      <c r="M32" s="43"/>
      <c r="N32" s="35"/>
      <c r="O32" s="38"/>
    </row>
    <row r="33" spans="2:15" x14ac:dyDescent="0.25">
      <c r="B33" s="23" t="s">
        <v>214</v>
      </c>
      <c r="C33" s="60"/>
      <c r="D33" s="30" t="str">
        <f>IF(M33=FALSE,N33,"")</f>
        <v>Please enter an integer</v>
      </c>
      <c r="G33" s="41" t="str">
        <f>TRIM(UPPER(WagesOver100K))</f>
        <v/>
      </c>
      <c r="H33" s="32" t="b">
        <v>1</v>
      </c>
      <c r="I33" s="32">
        <f>IF(H33=TRUE,IF(G33&gt;"",0,1),0)</f>
        <v>1</v>
      </c>
      <c r="J33" s="32">
        <f>IFERROR(IF(INT(VALUE(G33))=VALUE(G33),0,1),1)</f>
        <v>1</v>
      </c>
      <c r="K33" s="47"/>
      <c r="L33" s="47"/>
      <c r="M33" s="48" t="b">
        <f t="shared" ref="M33:M35" si="13">IF(SUM(I33:L33)&gt;0,FALSE,TRUE)</f>
        <v>0</v>
      </c>
      <c r="N33" s="33" t="s">
        <v>173</v>
      </c>
      <c r="O33" s="40" t="s">
        <v>38</v>
      </c>
    </row>
    <row r="34" spans="2:15" x14ac:dyDescent="0.25">
      <c r="B34" s="23" t="s">
        <v>215</v>
      </c>
      <c r="C34" s="60"/>
      <c r="D34" s="30" t="str">
        <f>IF(M34=FALSE,N34,"")</f>
        <v>Please enter an integer</v>
      </c>
      <c r="G34" s="41" t="str">
        <f>TRIM(UPPER(ForeignWages))</f>
        <v/>
      </c>
      <c r="H34" s="32" t="b">
        <v>1</v>
      </c>
      <c r="I34" s="32">
        <f>IF(H34=TRUE,IF(G34&gt;"",0,1),0)</f>
        <v>1</v>
      </c>
      <c r="J34" s="32">
        <f>IFERROR(IF(INT(VALUE(G34))=VALUE(G34),0,1),1)</f>
        <v>1</v>
      </c>
      <c r="K34" s="47"/>
      <c r="L34" s="47"/>
      <c r="M34" s="48" t="b">
        <f t="shared" si="13"/>
        <v>0</v>
      </c>
      <c r="N34" s="33" t="s">
        <v>173</v>
      </c>
      <c r="O34" s="40" t="s">
        <v>34</v>
      </c>
    </row>
    <row r="35" spans="2:15" x14ac:dyDescent="0.25">
      <c r="B35" s="23" t="s">
        <v>216</v>
      </c>
      <c r="C35" s="60"/>
      <c r="D35" s="30" t="str">
        <f>IF(M35=FALSE,N35,"")</f>
        <v>Please enter an integer</v>
      </c>
      <c r="G35" s="41" t="str">
        <f>TRIM(UPPER(QualifiedFFCRAWages))</f>
        <v/>
      </c>
      <c r="H35" s="32" t="b">
        <v>1</v>
      </c>
      <c r="I35" s="32">
        <f>IF(H35=TRUE,IF(G35&gt;"",0,1),0)</f>
        <v>1</v>
      </c>
      <c r="J35" s="32">
        <f>IFERROR(IF(INT(VALUE(G35))=VALUE(G35),0,1),1)</f>
        <v>1</v>
      </c>
      <c r="K35" s="47"/>
      <c r="L35" s="47"/>
      <c r="M35" s="48" t="b">
        <f t="shared" si="13"/>
        <v>0</v>
      </c>
      <c r="N35" s="33" t="s">
        <v>173</v>
      </c>
      <c r="O35" s="40" t="s">
        <v>35</v>
      </c>
    </row>
    <row r="36" spans="2:15" x14ac:dyDescent="0.25">
      <c r="F36" s="29"/>
    </row>
    <row r="37" spans="2:15" x14ac:dyDescent="0.25">
      <c r="B37" s="74" t="s">
        <v>270</v>
      </c>
      <c r="C37" s="75"/>
      <c r="D37" s="76"/>
    </row>
    <row r="38" spans="2:15" ht="117" customHeight="1" x14ac:dyDescent="0.25">
      <c r="B38" s="77"/>
      <c r="C38" s="78"/>
      <c r="D38" s="79"/>
    </row>
    <row r="39" spans="2:15" x14ac:dyDescent="0.25">
      <c r="E39" s="29">
        <f>CountNotComplete</f>
        <v>20</v>
      </c>
    </row>
    <row r="40" spans="2:15" hidden="1" x14ac:dyDescent="0.25"/>
    <row r="41" spans="2:15" hidden="1" x14ac:dyDescent="0.25"/>
    <row r="42" spans="2:15" hidden="1" x14ac:dyDescent="0.25"/>
    <row r="43" spans="2:15" hidden="1" x14ac:dyDescent="0.25"/>
    <row r="44" spans="2:15" hidden="1" x14ac:dyDescent="0.25"/>
    <row r="45" spans="2:15" hidden="1" x14ac:dyDescent="0.25"/>
    <row r="46" spans="2:15" hidden="1" x14ac:dyDescent="0.25"/>
    <row r="47" spans="2:15" hidden="1" x14ac:dyDescent="0.25"/>
    <row r="48" spans="2:15"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spans="2:2" hidden="1" x14ac:dyDescent="0.25">
      <c r="B65" s="5"/>
    </row>
    <row r="66" spans="2:2" hidden="1" x14ac:dyDescent="0.25">
      <c r="B66" s="5"/>
    </row>
    <row r="67" spans="2:2" hidden="1" x14ac:dyDescent="0.25">
      <c r="B67" s="5"/>
    </row>
    <row r="68" spans="2:2" hidden="1" x14ac:dyDescent="0.25">
      <c r="B68" s="5"/>
    </row>
  </sheetData>
  <sheetProtection algorithmName="SHA-512" hashValue="XdRz3HAGDleVKmv3jqZTQ68uirHgc1pxXSGhhScxvbFrAhRmDhy/GA7uzw2QxhqRG5E4seqyTDNixojuz00iSA==" saltValue="faBn7NVT9MnjF2Gu5gC3TQ==" spinCount="100000" sheet="1" objects="1" scenarios="1"/>
  <mergeCells count="9">
    <mergeCell ref="B37:D37"/>
    <mergeCell ref="B38:D38"/>
    <mergeCell ref="B32:D32"/>
    <mergeCell ref="B26:D26"/>
    <mergeCell ref="A1:E1"/>
    <mergeCell ref="B17:D17"/>
    <mergeCell ref="B24:D24"/>
    <mergeCell ref="B2:D2"/>
    <mergeCell ref="B3:D3"/>
  </mergeCells>
  <conditionalFormatting sqref="C7:C10">
    <cfRule type="cellIs" dxfId="70" priority="87" operator="equal">
      <formula>"No"</formula>
    </cfRule>
    <cfRule type="cellIs" dxfId="69" priority="88" operator="equal">
      <formula>"no"</formula>
    </cfRule>
    <cfRule type="cellIs" dxfId="68" priority="89" operator="equal">
      <formula>"NO"</formula>
    </cfRule>
    <cfRule type="cellIs" dxfId="67" priority="90" operator="equal">
      <formula>"yes"</formula>
    </cfRule>
    <cfRule type="cellIs" dxfId="66" priority="91" operator="equal">
      <formula>"YES"</formula>
    </cfRule>
    <cfRule type="cellIs" dxfId="65" priority="92" operator="equal">
      <formula>"Yes"</formula>
    </cfRule>
  </conditionalFormatting>
  <conditionalFormatting sqref="M4:M5 M13:M14 M16 M7:M10">
    <cfRule type="cellIs" dxfId="64" priority="85" operator="equal">
      <formula>FALSE</formula>
    </cfRule>
    <cfRule type="cellIs" dxfId="63" priority="86" operator="equal">
      <formula>TRUE</formula>
    </cfRule>
  </conditionalFormatting>
  <conditionalFormatting sqref="M19">
    <cfRule type="cellIs" dxfId="62" priority="33" operator="equal">
      <formula>FALSE</formula>
    </cfRule>
    <cfRule type="cellIs" dxfId="61" priority="34" operator="equal">
      <formula>TRUE</formula>
    </cfRule>
  </conditionalFormatting>
  <conditionalFormatting sqref="M22">
    <cfRule type="cellIs" dxfId="60" priority="13" operator="equal">
      <formula>FALSE</formula>
    </cfRule>
    <cfRule type="cellIs" dxfId="59" priority="14" operator="equal">
      <formula>TRUE</formula>
    </cfRule>
  </conditionalFormatting>
  <conditionalFormatting sqref="M25">
    <cfRule type="cellIs" dxfId="58" priority="49" operator="equal">
      <formula>FALSE</formula>
    </cfRule>
    <cfRule type="cellIs" dxfId="57" priority="50" operator="equal">
      <formula>TRUE</formula>
    </cfRule>
  </conditionalFormatting>
  <conditionalFormatting sqref="M27:M31">
    <cfRule type="cellIs" dxfId="56" priority="47" operator="equal">
      <formula>FALSE</formula>
    </cfRule>
    <cfRule type="cellIs" dxfId="55" priority="48" operator="equal">
      <formula>TRUE</formula>
    </cfRule>
  </conditionalFormatting>
  <conditionalFormatting sqref="M33">
    <cfRule type="cellIs" dxfId="54" priority="39" operator="equal">
      <formula>FALSE</formula>
    </cfRule>
    <cfRule type="cellIs" dxfId="53" priority="40" operator="equal">
      <formula>TRUE</formula>
    </cfRule>
  </conditionalFormatting>
  <conditionalFormatting sqref="M34">
    <cfRule type="cellIs" dxfId="52" priority="37" operator="equal">
      <formula>FALSE</formula>
    </cfRule>
    <cfRule type="cellIs" dxfId="51" priority="38" operator="equal">
      <formula>TRUE</formula>
    </cfRule>
  </conditionalFormatting>
  <conditionalFormatting sqref="M35">
    <cfRule type="cellIs" dxfId="50" priority="35" operator="equal">
      <formula>FALSE</formula>
    </cfRule>
    <cfRule type="cellIs" dxfId="49" priority="36" operator="equal">
      <formula>TRUE</formula>
    </cfRule>
  </conditionalFormatting>
  <conditionalFormatting sqref="M18">
    <cfRule type="cellIs" dxfId="48" priority="27" operator="equal">
      <formula>FALSE</formula>
    </cfRule>
    <cfRule type="cellIs" dxfId="47" priority="28" operator="equal">
      <formula>TRUE</formula>
    </cfRule>
  </conditionalFormatting>
  <conditionalFormatting sqref="M20">
    <cfRule type="cellIs" dxfId="46" priority="17" operator="equal">
      <formula>FALSE</formula>
    </cfRule>
    <cfRule type="cellIs" dxfId="45" priority="18" operator="equal">
      <formula>TRUE</formula>
    </cfRule>
  </conditionalFormatting>
  <conditionalFormatting sqref="M21">
    <cfRule type="cellIs" dxfId="44" priority="15" operator="equal">
      <formula>FALSE</formula>
    </cfRule>
    <cfRule type="cellIs" dxfId="43" priority="16" operator="equal">
      <formula>TRUE</formula>
    </cfRule>
  </conditionalFormatting>
  <conditionalFormatting sqref="B3:D3">
    <cfRule type="cellIs" dxfId="42" priority="11" operator="equal">
      <formula>MessageNotComplete</formula>
    </cfRule>
    <cfRule type="cellIs" dxfId="41" priority="12" operator="equal">
      <formula>MessageComplete</formula>
    </cfRule>
  </conditionalFormatting>
  <conditionalFormatting sqref="M11:M12">
    <cfRule type="cellIs" dxfId="40" priority="9" operator="equal">
      <formula>FALSE</formula>
    </cfRule>
    <cfRule type="cellIs" dxfId="39" priority="10" operator="equal">
      <formula>TRUE</formula>
    </cfRule>
  </conditionalFormatting>
  <conditionalFormatting sqref="M15">
    <cfRule type="cellIs" dxfId="38" priority="7" operator="equal">
      <formula>FALSE</formula>
    </cfRule>
    <cfRule type="cellIs" dxfId="37" priority="8" operator="equal">
      <formula>TRUE</formula>
    </cfRule>
  </conditionalFormatting>
  <conditionalFormatting sqref="M6">
    <cfRule type="cellIs" dxfId="36" priority="5" operator="equal">
      <formula>FALSE</formula>
    </cfRule>
    <cfRule type="cellIs" dxfId="35" priority="6" operator="equal">
      <formula>TRUE</formula>
    </cfRule>
  </conditionalFormatting>
  <conditionalFormatting sqref="M12">
    <cfRule type="cellIs" dxfId="34" priority="1" operator="equal">
      <formula>FALSE</formula>
    </cfRule>
    <cfRule type="cellIs" dxfId="33" priority="2" operator="equal">
      <formula>TRUE</formula>
    </cfRule>
  </conditionalFormatting>
  <pageMargins left="0.25" right="0.25" top="0.25" bottom="0"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9DC38-78A1-49E8-828A-F6A6D21604D1}">
  <sheetPr codeName="Sheet2"/>
  <dimension ref="A1:E41"/>
  <sheetViews>
    <sheetView showGridLines="0" showRowColHeaders="0" topLeftCell="A3" workbookViewId="0">
      <selection activeCell="A4" sqref="A4"/>
    </sheetView>
  </sheetViews>
  <sheetFormatPr defaultColWidth="0" defaultRowHeight="15" zeroHeight="1" x14ac:dyDescent="0.25"/>
  <cols>
    <col min="1" max="5" width="19.7109375" style="4" customWidth="1"/>
    <col min="6" max="16384" width="9.140625" style="4" hidden="1"/>
  </cols>
  <sheetData>
    <row r="1" spans="1:5" ht="22.5" customHeight="1" x14ac:dyDescent="0.25">
      <c r="A1" s="52" t="str">
        <f>IF(CompanyName&lt;&gt;0,CompanyName,"[COMPANY NAME]")</f>
        <v>[COMPANY NAME]</v>
      </c>
      <c r="B1" s="51"/>
      <c r="C1" s="90" t="str">
        <f>IF(IsComplete=FALSE,MessageNotComplete,"")</f>
        <v>Questionnaire is either not complete or has validation errors.</v>
      </c>
      <c r="D1" s="90"/>
      <c r="E1" s="90"/>
    </row>
    <row r="2" spans="1:5" ht="34.5" customHeight="1" x14ac:dyDescent="0.25">
      <c r="A2" s="91" t="s">
        <v>179</v>
      </c>
      <c r="B2" s="91"/>
      <c r="C2" s="91"/>
      <c r="D2" s="91"/>
      <c r="E2" s="91"/>
    </row>
    <row r="3" spans="1:5" ht="15.75" customHeight="1" x14ac:dyDescent="0.25">
      <c r="A3" s="92"/>
      <c r="B3" s="92"/>
      <c r="C3" s="92"/>
      <c r="D3" s="92"/>
      <c r="E3" s="92"/>
    </row>
    <row r="4" spans="1:5" ht="97.5" customHeight="1" x14ac:dyDescent="0.3">
      <c r="A4" s="64" t="s">
        <v>191</v>
      </c>
      <c r="B4" s="64" t="s">
        <v>180</v>
      </c>
      <c r="C4" s="64" t="s">
        <v>181</v>
      </c>
      <c r="D4" s="64" t="s">
        <v>193</v>
      </c>
      <c r="E4" s="64" t="s">
        <v>192</v>
      </c>
    </row>
    <row r="5" spans="1:5" ht="6.75" customHeight="1" x14ac:dyDescent="0.35">
      <c r="A5" s="65"/>
      <c r="B5" s="65"/>
      <c r="C5" s="65"/>
      <c r="D5" s="65"/>
      <c r="E5" s="65"/>
    </row>
    <row r="6" spans="1:5" ht="6.75" customHeight="1" x14ac:dyDescent="0.3">
      <c r="A6" s="66"/>
      <c r="B6" s="66"/>
      <c r="C6" s="66"/>
      <c r="D6" s="66"/>
      <c r="E6" s="66"/>
    </row>
    <row r="7" spans="1:5" ht="382.5" customHeight="1" x14ac:dyDescent="0.25">
      <c r="A7" s="67" t="s">
        <v>265</v>
      </c>
      <c r="B7" s="67" t="s">
        <v>196</v>
      </c>
      <c r="C7" s="67" t="s">
        <v>210</v>
      </c>
      <c r="D7" s="67" t="s">
        <v>195</v>
      </c>
      <c r="E7" s="67" t="s">
        <v>194</v>
      </c>
    </row>
    <row r="8" spans="1:5" ht="15.95" customHeight="1" x14ac:dyDescent="0.3">
      <c r="A8" s="68" t="str">
        <f>"Qualifies? " &amp;SBA_LoanEligible</f>
        <v>Qualifies? YES</v>
      </c>
      <c r="B8" s="68" t="str">
        <f>"Qualifies? " &amp;FFRC_Eligible</f>
        <v>Qualifies? YES</v>
      </c>
      <c r="C8" s="68" t="str">
        <f>"Qualifies? " &amp;ERC_Eligible</f>
        <v>Qualifies? NO</v>
      </c>
      <c r="D8" s="68" t="s">
        <v>229</v>
      </c>
      <c r="E8" s="68" t="str">
        <f>"Qualifies? YES"</f>
        <v>Qualifies? YES</v>
      </c>
    </row>
    <row r="9" spans="1:5" ht="5.0999999999999996" customHeight="1" x14ac:dyDescent="0.25">
      <c r="A9" s="71"/>
      <c r="B9" s="71"/>
      <c r="C9" s="71"/>
      <c r="D9" s="71"/>
      <c r="E9" s="69"/>
    </row>
    <row r="10" spans="1:5" s="53" customFormat="1" ht="33.950000000000003" customHeight="1" x14ac:dyDescent="0.25">
      <c r="A10" s="71" t="str">
        <f>"Max Loan Amount"&amp;LineFeed&amp;TEXT(SBA_MaxLoanAmount,"$ #,##0 ;")</f>
        <v xml:space="preserve">Max Loan Amount
_x000D_$ 0 </v>
      </c>
      <c r="B10" s="71" t="str">
        <f>"Sick Leave Max Pay/Credit" &amp; LineFeed &amp; TEXT(FFRC_SickLeaveMaxPayCredit,"$ #,##0 ;")</f>
        <v xml:space="preserve">Sick Leave Max Pay/Credit
_x000D_$ 0 </v>
      </c>
      <c r="C10" s="71" t="str">
        <f>"Max Credit Amount" &amp; LineFeed &amp; TEXT(ERC_MaxCreditAmount,"$ #,##0 ;")</f>
        <v xml:space="preserve">Max Credit Amount
_x000D_$ 0 </v>
      </c>
      <c r="D10" s="93" t="str">
        <f>"Maximum Monthly Payroll Tax Deferral (Based on Current Monthly Payroll Expense)" &amp; LineFeed &amp; TEXT(PTP_MaximumMonthlyPayrollTaxDeferral,"$ #,##0. ;")</f>
        <v xml:space="preserve">Maximum Monthly Payroll Tax Deferral (Based on Current Monthly Payroll Expense)
_x000D_$ 0. </v>
      </c>
      <c r="E10" s="93" t="str">
        <f>"Max Weekly Benefits by State" &amp; LineFeed &amp;
IF(UI_State1Value&lt;&gt;"",UI_State1&amp;" - "&amp;TEXT(UI_State1Value,"$ #,##0 ;") &amp; LineFeed,"") &amp;
IF(UI_State2Value&lt;&gt;"",UI_State2&amp;" - "&amp;TEXT(UI_State2Value,"$ #,##0 ;") &amp; LineFeed,"") &amp;
IF(UI_State3Value&lt;&gt;"",UI_State3&amp;" - "&amp;TEXT(UI_State3Value,"$ #,##0 ;") &amp; LineFeed,"") &amp;
IF(UI_State4Value&lt;&gt;"",UI_State4&amp;" - "&amp;TEXT(UI_State4Value,"$ #,##0 ;") &amp; LineFeed,"") &amp;
IF(UI_State5Value&lt;&gt;"",UI_State5&amp;" - "&amp;TEXT(UI_State5Value,"$ #,##0 ;"),"")</f>
        <v>Max Weekly Benefits by State
_x000D_</v>
      </c>
    </row>
    <row r="11" spans="1:5" s="63" customFormat="1" ht="33.950000000000003" customHeight="1" x14ac:dyDescent="0.25">
      <c r="A11" s="71"/>
      <c r="B11" s="71" t="str">
        <f>"FMLA Max Pay/Credit" &amp; LineFeed &amp; TEXT(FFRC_FMLAMaxPayCredit,"$ #,##0 ;")</f>
        <v xml:space="preserve">FMLA Max Pay/Credit
_x000D_$ 0 </v>
      </c>
      <c r="C11" s="71" t="str">
        <f>"Estimated Monthly Credit Amount" &amp; LineFeed &amp; TEXT(ERC_MonthlyCreditAmount,"$ #,##0 ;")</f>
        <v xml:space="preserve">Estimated Monthly Credit Amount
_x000D_$ 0 </v>
      </c>
      <c r="D11" s="93"/>
      <c r="E11" s="93"/>
    </row>
    <row r="12" spans="1:5" s="63" customFormat="1" ht="33.950000000000003" customHeight="1" x14ac:dyDescent="0.25">
      <c r="A12" s="71"/>
      <c r="B12" s="71" t="str">
        <f>"Estimated Monthly Max Sick Leave Pay/Credit" &amp; LineFeed &amp; TEXT(FFRC_MonthlyMaxSickLeavePayCredit,"$ #,##0 ;")</f>
        <v xml:space="preserve">Estimated Monthly Max Sick Leave Pay/Credit
_x000D_$ 0 </v>
      </c>
      <c r="C12" s="71"/>
      <c r="D12" s="71"/>
      <c r="E12" s="93"/>
    </row>
    <row r="13" spans="1:5" s="63" customFormat="1" ht="33.950000000000003" customHeight="1" x14ac:dyDescent="0.25">
      <c r="A13" s="71"/>
      <c r="B13" s="71" t="str">
        <f>"Estimated Monthly Max FMLA Pay/Credit" &amp; LineFeed &amp; TEXT(FFRC_MonthlyMaxFMLAPayCredit,"$ #,##0 ;")</f>
        <v xml:space="preserve">Estimated Monthly Max FMLA Pay/Credit
_x000D_$ 0 </v>
      </c>
      <c r="C13" s="71"/>
      <c r="D13" s="71"/>
      <c r="E13" s="93"/>
    </row>
    <row r="14" spans="1:5" s="63" customFormat="1" ht="32.1" hidden="1" customHeight="1" x14ac:dyDescent="0.25">
      <c r="A14" s="72"/>
      <c r="B14" s="72"/>
      <c r="C14" s="72"/>
      <c r="D14" s="72"/>
      <c r="E14" s="94"/>
    </row>
    <row r="15" spans="1:5" ht="27" customHeight="1" x14ac:dyDescent="0.25">
      <c r="A15" s="61" t="str">
        <f ca="1">TEXT(TODAY(),"m/d/yyyy")&amp;" "&amp;CHAR(10)&amp;VersionText</f>
        <v>4/2/2020 
v.1.03</v>
      </c>
    </row>
    <row r="16" spans="1:5"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t="7.5" hidden="1" customHeight="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sheetData>
  <sheetProtection algorithmName="SHA-512" hashValue="gd2/1tBE4hh6gRJZ9+BpzVMYPtT8HUApYXPbdtWhDzVCugki5nUFAGJJOv4j9FYSUBcrpgQx5sjFVqWsp/7jgQ==" saltValue="BDTe872Sq8Xf8hByi5phVg==" spinCount="100000" sheet="1" objects="1" scenarios="1"/>
  <mergeCells count="5">
    <mergeCell ref="C1:E1"/>
    <mergeCell ref="A2:E2"/>
    <mergeCell ref="A3:E3"/>
    <mergeCell ref="E10:E14"/>
    <mergeCell ref="D10:D11"/>
  </mergeCells>
  <conditionalFormatting sqref="C1:E1">
    <cfRule type="cellIs" dxfId="32" priority="4" operator="equal">
      <formula>MessageNotComplete</formula>
    </cfRule>
    <cfRule type="cellIs" dxfId="31" priority="5" operator="equal">
      <formula>MessageComplete</formula>
    </cfRule>
  </conditionalFormatting>
  <conditionalFormatting sqref="A8:E8">
    <cfRule type="cellIs" dxfId="30" priority="1" operator="equal">
      <formula>"Qualifies? NO"</formula>
    </cfRule>
    <cfRule type="cellIs" dxfId="29" priority="2" operator="equal">
      <formula>"Qualifies? YES"</formula>
    </cfRule>
  </conditionalFormatting>
  <pageMargins left="0.25" right="0.25" top="0.25" bottom="0.2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98F08-857B-44F1-93BD-FA41845D8C63}">
  <sheetPr codeName="Sheet3"/>
  <dimension ref="A1:O49"/>
  <sheetViews>
    <sheetView showGridLines="0" showRowColHeaders="0" topLeftCell="A22" workbookViewId="0">
      <selection activeCell="G12" sqref="G12"/>
    </sheetView>
  </sheetViews>
  <sheetFormatPr defaultColWidth="9.140625" defaultRowHeight="15" zeroHeight="1" x14ac:dyDescent="0.25"/>
  <cols>
    <col min="1" max="1" width="39.7109375" style="1" bestFit="1" customWidth="1"/>
    <col min="2" max="2" width="13.28515625" style="1" bestFit="1" customWidth="1"/>
    <col min="3" max="3" width="4.7109375" style="1" customWidth="1"/>
    <col min="4" max="4" width="13.28515625" style="3" customWidth="1"/>
    <col min="5" max="5" width="36.140625" style="3" customWidth="1"/>
    <col min="6" max="6" width="9.140625" style="1" customWidth="1"/>
    <col min="7" max="7" width="26.140625" style="1" customWidth="1"/>
    <col min="8" max="15" width="9.140625" style="1" customWidth="1"/>
    <col min="16" max="16384" width="9.140625" style="1"/>
  </cols>
  <sheetData>
    <row r="1" spans="1:9" ht="60" customHeight="1" x14ac:dyDescent="0.25">
      <c r="A1" s="7" t="s">
        <v>267</v>
      </c>
      <c r="B1" s="8"/>
      <c r="C1" s="9"/>
      <c r="D1" s="9"/>
      <c r="E1" s="9"/>
      <c r="F1" s="2"/>
      <c r="G1" s="2"/>
      <c r="H1" s="2"/>
      <c r="I1" s="2"/>
    </row>
    <row r="2" spans="1:9" x14ac:dyDescent="0.25">
      <c r="A2" s="17"/>
      <c r="B2" s="14"/>
      <c r="C2" s="14"/>
      <c r="D2" s="15"/>
      <c r="E2" s="15"/>
      <c r="F2" s="2"/>
      <c r="G2" s="2"/>
      <c r="H2" s="2"/>
      <c r="I2" s="2"/>
    </row>
    <row r="3" spans="1:9" ht="30" customHeight="1" x14ac:dyDescent="0.25">
      <c r="A3" s="55" t="s">
        <v>220</v>
      </c>
      <c r="B3" s="56"/>
      <c r="C3" s="56"/>
      <c r="D3" s="56"/>
      <c r="E3" s="56"/>
      <c r="F3" s="2"/>
      <c r="G3" s="2"/>
      <c r="H3" s="2"/>
      <c r="I3" s="2"/>
    </row>
    <row r="4" spans="1:9" x14ac:dyDescent="0.25">
      <c r="A4" s="17" t="s">
        <v>8</v>
      </c>
      <c r="B4" s="20" t="str">
        <f>IF(OR(NumberOfEmployees&lt;=500,UPPER(IsRestaurant)="YES"),"YES","NO")</f>
        <v>YES</v>
      </c>
      <c r="C4" s="14"/>
      <c r="D4" s="13" t="s">
        <v>145</v>
      </c>
      <c r="E4" s="13"/>
      <c r="F4" s="2"/>
      <c r="H4" s="2"/>
      <c r="I4" s="2"/>
    </row>
    <row r="5" spans="1:9" x14ac:dyDescent="0.25">
      <c r="A5" s="11" t="s">
        <v>175</v>
      </c>
      <c r="B5" s="16">
        <f>Payroll+GroupHealthCare+DentalInsurance+WorkersCompInsurance+SALTAssessed+Subcontractors-WagesOver100K-ForeignWages-QualifiedFFCRAWages</f>
        <v>0</v>
      </c>
      <c r="C5" s="10"/>
      <c r="D5" s="13" t="s">
        <v>260</v>
      </c>
      <c r="E5" s="13"/>
      <c r="F5" s="2"/>
      <c r="H5" s="2"/>
      <c r="I5" s="2"/>
    </row>
    <row r="6" spans="1:9" x14ac:dyDescent="0.25">
      <c r="A6" s="19" t="s">
        <v>256</v>
      </c>
      <c r="B6" s="16">
        <f>ROUND(SBA_PayrollAdjusted/12,0)</f>
        <v>0</v>
      </c>
      <c r="C6" s="10"/>
      <c r="D6" s="13" t="s">
        <v>261</v>
      </c>
      <c r="E6" s="13"/>
      <c r="F6" s="2"/>
      <c r="G6" s="2"/>
      <c r="H6" s="2"/>
      <c r="I6" s="2"/>
    </row>
    <row r="7" spans="1:9" x14ac:dyDescent="0.25">
      <c r="A7" s="17" t="s">
        <v>9</v>
      </c>
      <c r="B7" s="16">
        <f>IF(B4="YES",ROUND(MIN(SBA_AverageMonthlyPayrollSBA*2.5,10000000),0),0)</f>
        <v>0</v>
      </c>
      <c r="C7" s="14"/>
      <c r="D7" s="13" t="s">
        <v>146</v>
      </c>
      <c r="E7" s="13"/>
      <c r="F7" s="2"/>
      <c r="G7" s="2"/>
      <c r="H7" s="2"/>
      <c r="I7" s="2"/>
    </row>
    <row r="8" spans="1:9" x14ac:dyDescent="0.25">
      <c r="A8" s="17"/>
      <c r="B8" s="14"/>
      <c r="C8" s="14"/>
      <c r="D8" s="13"/>
      <c r="E8" s="13"/>
      <c r="F8" s="2"/>
      <c r="G8" s="2"/>
      <c r="H8" s="2"/>
      <c r="I8" s="2"/>
    </row>
    <row r="9" spans="1:9" ht="30" customHeight="1" x14ac:dyDescent="0.25">
      <c r="A9" s="55" t="s">
        <v>221</v>
      </c>
      <c r="B9" s="56"/>
      <c r="C9" s="56"/>
      <c r="D9" s="56"/>
      <c r="E9" s="56"/>
      <c r="F9" s="2"/>
      <c r="G9" s="2"/>
      <c r="H9" s="2"/>
      <c r="I9" s="2"/>
    </row>
    <row r="10" spans="1:9" x14ac:dyDescent="0.25">
      <c r="A10" s="17" t="s">
        <v>8</v>
      </c>
      <c r="B10" s="12" t="str">
        <f>IF(NumberOfEmployees&lt;500,"YES","NO")</f>
        <v>YES</v>
      </c>
      <c r="C10" s="14"/>
      <c r="D10" s="13" t="s">
        <v>148</v>
      </c>
      <c r="E10" s="13"/>
    </row>
    <row r="11" spans="1:9" x14ac:dyDescent="0.25">
      <c r="A11" s="17" t="s">
        <v>143</v>
      </c>
      <c r="B11" s="16">
        <f>IF(FFRC_Eligible="YES",ROUND(5110*NumberOfEmployeesSick,0) + ROUND(2000*NumberOfEmployeesCaring,0),0)</f>
        <v>0</v>
      </c>
      <c r="C11" s="14"/>
      <c r="D11" s="13" t="s">
        <v>149</v>
      </c>
      <c r="E11" s="13"/>
    </row>
    <row r="12" spans="1:9" x14ac:dyDescent="0.25">
      <c r="A12" s="17" t="s">
        <v>144</v>
      </c>
      <c r="B12" s="16">
        <f>IF(FFRC_Eligible="YES",ROUND(12000*NumberOfEmployeesFMLA,0),0)</f>
        <v>0</v>
      </c>
      <c r="C12" s="14"/>
      <c r="D12" s="13" t="s">
        <v>150</v>
      </c>
      <c r="E12" s="13"/>
    </row>
    <row r="13" spans="1:9" x14ac:dyDescent="0.25">
      <c r="A13" s="17" t="s">
        <v>230</v>
      </c>
      <c r="B13" s="16">
        <f>ROUND(FFRC_SickLeaveMaxPayCredit,0)</f>
        <v>0</v>
      </c>
      <c r="C13" s="14"/>
      <c r="D13" s="13" t="s">
        <v>233</v>
      </c>
      <c r="E13" s="13"/>
    </row>
    <row r="14" spans="1:9" x14ac:dyDescent="0.25">
      <c r="A14" s="17" t="s">
        <v>231</v>
      </c>
      <c r="B14" s="16">
        <f>ROUND(FFRC_FMLAMaxPayCredit/3,0)</f>
        <v>0</v>
      </c>
      <c r="C14" s="14"/>
      <c r="D14" s="13" t="s">
        <v>234</v>
      </c>
      <c r="E14" s="13"/>
    </row>
    <row r="15" spans="1:9" x14ac:dyDescent="0.25">
      <c r="A15" s="17" t="s">
        <v>225</v>
      </c>
      <c r="B15" s="16">
        <f>IF(FFRC_Eligible="YES",ROUND(AverageMonthlyGrossPayrollExpense-FFRC_MonthlyMaxSickLeavePayCredit-FFRC_MonthlyMaxFMLAPayCredit,0),0)</f>
        <v>0</v>
      </c>
      <c r="C15" s="14"/>
      <c r="D15" s="13" t="s">
        <v>232</v>
      </c>
      <c r="E15" s="13"/>
    </row>
    <row r="16" spans="1:9" x14ac:dyDescent="0.25">
      <c r="A16" s="17"/>
      <c r="B16" s="14"/>
      <c r="C16" s="14"/>
      <c r="D16" s="13"/>
      <c r="E16" s="13"/>
    </row>
    <row r="17" spans="1:15" ht="30" customHeight="1" x14ac:dyDescent="0.25">
      <c r="A17" s="55" t="s">
        <v>222</v>
      </c>
      <c r="B17" s="56"/>
      <c r="C17" s="56"/>
      <c r="D17" s="56"/>
      <c r="E17" s="56"/>
      <c r="F17" s="2"/>
      <c r="G17" s="2"/>
      <c r="H17" s="2"/>
    </row>
    <row r="18" spans="1:15" x14ac:dyDescent="0.25">
      <c r="A18" s="17" t="s">
        <v>8</v>
      </c>
      <c r="B18" s="12" t="str">
        <f>IF(OR(OperationsSuspended="YES",GrossReceiptsDeclined="YES"),"YES","NO")</f>
        <v>NO</v>
      </c>
      <c r="C18" s="14"/>
      <c r="D18" s="13" t="s">
        <v>147</v>
      </c>
      <c r="E18" s="13"/>
    </row>
    <row r="19" spans="1:15" x14ac:dyDescent="0.25">
      <c r="A19" s="17" t="s">
        <v>12</v>
      </c>
      <c r="B19" s="16">
        <f>IF(B18="YES",IF(UPPER(TRIM(NumberOfFullTimeEmployeesGT100))="NO",EmployeesContinuingToPay*5000,EmployeesNotInService*5000),0)</f>
        <v>0</v>
      </c>
      <c r="C19" s="14"/>
      <c r="D19" s="13" t="s">
        <v>240</v>
      </c>
      <c r="E19" s="13"/>
    </row>
    <row r="20" spans="1:15" x14ac:dyDescent="0.25">
      <c r="A20" s="17" t="s">
        <v>257</v>
      </c>
      <c r="B20" s="16" t="b">
        <f>IF(UPPER(TRIM(NumberOfFullTimeEmployeesGT100))="YES", TRUE, FALSE)</f>
        <v>0</v>
      </c>
      <c r="C20" s="14"/>
      <c r="D20" s="13" t="s">
        <v>262</v>
      </c>
      <c r="E20" s="13"/>
    </row>
    <row r="21" spans="1:15" x14ac:dyDescent="0.25">
      <c r="A21" s="17" t="s">
        <v>258</v>
      </c>
      <c r="B21" s="16">
        <f>IFERROR(MIN(ERC_MaxCreditAmount,AverageMonthlySalaryOfImpacted*EmployeesNotInService/EmployeesContinuingToPay/2),0)</f>
        <v>0</v>
      </c>
      <c r="C21" s="14"/>
      <c r="D21" s="13" t="s">
        <v>263</v>
      </c>
      <c r="E21" s="13"/>
    </row>
    <row r="22" spans="1:15" x14ac:dyDescent="0.25">
      <c r="A22" s="17" t="s">
        <v>259</v>
      </c>
      <c r="B22" s="16">
        <f>MIN(ERC_MaxCreditAmount,AverageMonthlySalaryOfImpacted/2)</f>
        <v>0</v>
      </c>
      <c r="C22" s="14"/>
      <c r="D22" s="13" t="s">
        <v>264</v>
      </c>
      <c r="E22" s="13"/>
    </row>
    <row r="23" spans="1:15" x14ac:dyDescent="0.25">
      <c r="A23" s="17" t="s">
        <v>235</v>
      </c>
      <c r="B23" s="16">
        <f>IF(ERC_HasGT100,ERC_IfHasGT100,ERC_IfHasLT100)</f>
        <v>0</v>
      </c>
      <c r="C23" s="14"/>
      <c r="D23" s="13" t="s">
        <v>238</v>
      </c>
      <c r="E23" s="13"/>
    </row>
    <row r="24" spans="1:15" x14ac:dyDescent="0.25">
      <c r="A24" s="17" t="s">
        <v>236</v>
      </c>
      <c r="B24" s="16">
        <f>ROUND(AverageMonthlySalaryOfImpacted-ERC_MonthlyCreditAmount,0)</f>
        <v>0</v>
      </c>
      <c r="C24" s="14"/>
      <c r="D24" s="13" t="s">
        <v>239</v>
      </c>
      <c r="E24" s="13"/>
    </row>
    <row r="25" spans="1:15" x14ac:dyDescent="0.25">
      <c r="A25" s="17"/>
      <c r="C25" s="14"/>
      <c r="D25" s="13"/>
      <c r="E25" s="13"/>
    </row>
    <row r="26" spans="1:15" ht="30" customHeight="1" x14ac:dyDescent="0.25">
      <c r="A26" s="55" t="s">
        <v>223</v>
      </c>
      <c r="B26" s="56"/>
      <c r="C26" s="56"/>
      <c r="D26" s="56"/>
      <c r="E26" s="56"/>
      <c r="F26" s="2"/>
      <c r="G26" s="2"/>
      <c r="H26" s="2"/>
      <c r="J26" s="70"/>
      <c r="K26" s="70"/>
      <c r="L26" s="70"/>
      <c r="M26" s="70"/>
      <c r="N26" s="70"/>
      <c r="O26" s="70"/>
    </row>
    <row r="27" spans="1:15" x14ac:dyDescent="0.25">
      <c r="A27" s="17" t="s">
        <v>8</v>
      </c>
      <c r="B27" s="12" t="s">
        <v>241</v>
      </c>
      <c r="C27" s="14"/>
      <c r="D27" s="13" t="s">
        <v>218</v>
      </c>
      <c r="E27" s="13"/>
    </row>
    <row r="28" spans="1:15" x14ac:dyDescent="0.25">
      <c r="A28" s="17" t="s">
        <v>237</v>
      </c>
      <c r="B28" s="16">
        <f>ROUND(0.062*AverageMonthlyGrossPayrollExpense,0)</f>
        <v>0</v>
      </c>
      <c r="C28" s="14"/>
      <c r="D28" s="13" t="s">
        <v>269</v>
      </c>
      <c r="E28" s="13"/>
      <c r="G28" s="70"/>
    </row>
    <row r="29" spans="1:15" x14ac:dyDescent="0.25">
      <c r="A29" s="17"/>
      <c r="B29" s="14"/>
      <c r="C29" s="14"/>
      <c r="D29" s="13"/>
      <c r="E29" s="13"/>
    </row>
    <row r="30" spans="1:15" ht="30" customHeight="1" x14ac:dyDescent="0.25">
      <c r="A30" s="55" t="s">
        <v>224</v>
      </c>
      <c r="B30" s="56"/>
      <c r="C30" s="56"/>
      <c r="D30" s="56"/>
      <c r="E30" s="56"/>
      <c r="F30" s="2"/>
      <c r="G30" s="2"/>
      <c r="H30" s="2"/>
      <c r="I30" s="2"/>
    </row>
    <row r="31" spans="1:15" x14ac:dyDescent="0.25">
      <c r="A31" s="54" t="s">
        <v>209</v>
      </c>
      <c r="B31" s="54"/>
      <c r="C31" s="14"/>
      <c r="D31" s="13"/>
      <c r="E31" s="13"/>
    </row>
    <row r="32" spans="1:15" x14ac:dyDescent="0.25">
      <c r="A32" s="18" t="str">
        <f>IFERROR(IFERROR(INDEX(UIData[State Abbr],MATCH(State1,UIData[State],0)),INDEX(UIData[State Abbr],MATCH(State1,UIData[State Abbr],0))),"")</f>
        <v/>
      </c>
      <c r="B32" s="16" t="str">
        <f>IFERROR(INDEX(UIData[Total Weekly Benefits],MATCH(UI_State1,UIData[State Abbr],0))+600,"")</f>
        <v/>
      </c>
      <c r="C32" s="14"/>
      <c r="D32" s="13" t="s">
        <v>151</v>
      </c>
      <c r="E32" s="13" t="s">
        <v>152</v>
      </c>
    </row>
    <row r="33" spans="1:9" x14ac:dyDescent="0.25">
      <c r="A33" s="18" t="str">
        <f>IFERROR(IFERROR(INDEX(UIData[State Abbr],MATCH(State2,UIData[State],0)),INDEX(UIData[State Abbr],MATCH(State2,UIData[State Abbr],0))),"")</f>
        <v/>
      </c>
      <c r="B33" s="16" t="str">
        <f>IFERROR(INDEX(UIData[Total Weekly Benefits],MATCH(UI_State2,UIData[State Abbr],0))+600,"")</f>
        <v/>
      </c>
      <c r="C33" s="14"/>
      <c r="D33" s="13" t="s">
        <v>153</v>
      </c>
      <c r="E33" s="13" t="s">
        <v>154</v>
      </c>
    </row>
    <row r="34" spans="1:9" x14ac:dyDescent="0.25">
      <c r="A34" s="18" t="str">
        <f>IFERROR(IFERROR(INDEX(UIData[State Abbr],MATCH(State3,UIData[State],0)),INDEX(UIData[State Abbr],MATCH(State3,UIData[State Abbr],0))),"")</f>
        <v/>
      </c>
      <c r="B34" s="16" t="str">
        <f>IFERROR(INDEX(UIData[Total Weekly Benefits],MATCH(UI_State3,UIData[State Abbr],0))+600,"")</f>
        <v/>
      </c>
      <c r="C34" s="14"/>
      <c r="D34" s="13" t="s">
        <v>155</v>
      </c>
      <c r="E34" s="13" t="s">
        <v>156</v>
      </c>
    </row>
    <row r="35" spans="1:9" x14ac:dyDescent="0.25">
      <c r="A35" s="18" t="str">
        <f>IFERROR(IFERROR(INDEX(UIData[State Abbr],MATCH(State4,UIData[State],0)),INDEX(UIData[State Abbr],MATCH(State4,UIData[State Abbr],0))),"")</f>
        <v/>
      </c>
      <c r="B35" s="16" t="str">
        <f>IFERROR(INDEX(UIData[Total Weekly Benefits],MATCH(UI_State4,UIData[State Abbr],0))+600,"")</f>
        <v/>
      </c>
      <c r="C35" s="14"/>
      <c r="D35" s="13" t="s">
        <v>157</v>
      </c>
      <c r="E35" s="13" t="s">
        <v>158</v>
      </c>
    </row>
    <row r="36" spans="1:9" x14ac:dyDescent="0.25">
      <c r="A36" s="18" t="str">
        <f>IFERROR(IFERROR(INDEX(UIData[State Abbr],MATCH(State5,UIData[State],0)),INDEX(UIData[State Abbr],MATCH(State5,UIData[State Abbr],0))),"")</f>
        <v/>
      </c>
      <c r="B36" s="16" t="str">
        <f>IFERROR(INDEX(UIData[Total Weekly Benefits],MATCH(UI_State5,UIData[State Abbr],0))+600,"")</f>
        <v/>
      </c>
      <c r="C36" s="14"/>
      <c r="D36" s="13" t="s">
        <v>159</v>
      </c>
      <c r="E36" s="13" t="s">
        <v>160</v>
      </c>
    </row>
    <row r="37" spans="1:9" x14ac:dyDescent="0.25">
      <c r="A37" s="17"/>
      <c r="B37" s="14"/>
      <c r="C37" s="14"/>
      <c r="D37" s="15"/>
      <c r="E37" s="15"/>
    </row>
    <row r="38" spans="1:9" ht="30" customHeight="1" x14ac:dyDescent="0.25">
      <c r="A38" s="55" t="s">
        <v>205</v>
      </c>
      <c r="B38" s="56"/>
      <c r="C38" s="56"/>
      <c r="D38" s="56"/>
      <c r="E38" s="56"/>
      <c r="F38" s="2"/>
      <c r="G38" s="2"/>
      <c r="H38" s="2"/>
      <c r="I38" s="2"/>
    </row>
    <row r="39" spans="1:9" x14ac:dyDescent="0.25">
      <c r="A39" s="19" t="s">
        <v>178</v>
      </c>
      <c r="B39" s="25">
        <v>1.03</v>
      </c>
      <c r="D39" s="13" t="s">
        <v>178</v>
      </c>
      <c r="G39" s="1">
        <v>1.01</v>
      </c>
      <c r="H39" s="1" t="s">
        <v>271</v>
      </c>
      <c r="I39" s="1" t="s">
        <v>272</v>
      </c>
    </row>
    <row r="40" spans="1:9" x14ac:dyDescent="0.25">
      <c r="A40" s="19" t="s">
        <v>182</v>
      </c>
      <c r="B40" s="27" t="str">
        <f>"v." &amp; TEXT(Version, "0.00")</f>
        <v>v.1.03</v>
      </c>
      <c r="D40" s="13" t="s">
        <v>183</v>
      </c>
      <c r="G40" s="1">
        <v>1.02</v>
      </c>
      <c r="H40" s="1" t="s">
        <v>275</v>
      </c>
      <c r="I40" s="1" t="s">
        <v>274</v>
      </c>
    </row>
    <row r="41" spans="1:9" x14ac:dyDescent="0.25">
      <c r="A41" s="19" t="s">
        <v>189</v>
      </c>
      <c r="B41" s="49">
        <f>COUNTIF(Questionnaire!M:M,FALSE)</f>
        <v>20</v>
      </c>
      <c r="D41" s="13" t="s">
        <v>208</v>
      </c>
      <c r="G41" s="1">
        <v>1.03</v>
      </c>
      <c r="H41" s="1" t="s">
        <v>273</v>
      </c>
      <c r="I41" s="1" t="s">
        <v>276</v>
      </c>
    </row>
    <row r="42" spans="1:9" x14ac:dyDescent="0.25">
      <c r="A42" s="19" t="s">
        <v>176</v>
      </c>
      <c r="B42" s="16" t="b">
        <f>IF(CountNotComplete=0,TRUE,FALSE)</f>
        <v>0</v>
      </c>
      <c r="D42" s="13" t="s">
        <v>177</v>
      </c>
    </row>
    <row r="43" spans="1:9" x14ac:dyDescent="0.25">
      <c r="A43" s="19" t="s">
        <v>206</v>
      </c>
      <c r="B43" s="50" t="s">
        <v>201</v>
      </c>
      <c r="D43" s="13" t="s">
        <v>203</v>
      </c>
    </row>
    <row r="44" spans="1:9" x14ac:dyDescent="0.25">
      <c r="A44" s="19" t="s">
        <v>207</v>
      </c>
      <c r="B44" s="50" t="s">
        <v>202</v>
      </c>
      <c r="D44" s="13" t="s">
        <v>204</v>
      </c>
    </row>
    <row r="45" spans="1:9" x14ac:dyDescent="0.25">
      <c r="A45" s="62" t="s">
        <v>219</v>
      </c>
      <c r="B45" s="50" t="str">
        <f>CHAR(10)&amp;CHAR(13)</f>
        <v xml:space="preserve">
_x000D_</v>
      </c>
    </row>
    <row r="46" spans="1:9" x14ac:dyDescent="0.25"/>
    <row r="47" spans="1:9" hidden="1" x14ac:dyDescent="0.25"/>
    <row r="48" spans="1:9" hidden="1" x14ac:dyDescent="0.25"/>
    <row r="49" x14ac:dyDescent="0.25"/>
  </sheetData>
  <conditionalFormatting sqref="F1:I3 I10:I13 F6:I9 F10:F11 H10:H11 F12:H17 F27:H28 F18:F25 H18:H25 F4:F5 H4:I5">
    <cfRule type="cellIs" dxfId="28" priority="23" operator="equal">
      <formula>"x"</formula>
    </cfRule>
  </conditionalFormatting>
  <conditionalFormatting sqref="B4:B6">
    <cfRule type="cellIs" dxfId="27" priority="21" operator="equal">
      <formula>"No"</formula>
    </cfRule>
    <cfRule type="cellIs" dxfId="26" priority="22" operator="equal">
      <formula>"Yes"</formula>
    </cfRule>
  </conditionalFormatting>
  <conditionalFormatting sqref="B18">
    <cfRule type="cellIs" dxfId="25" priority="19" operator="equal">
      <formula>"No"</formula>
    </cfRule>
    <cfRule type="cellIs" dxfId="24" priority="20" operator="equal">
      <formula>"Yes"</formula>
    </cfRule>
  </conditionalFormatting>
  <conditionalFormatting sqref="B10">
    <cfRule type="cellIs" dxfId="23" priority="17" operator="equal">
      <formula>"No"</formula>
    </cfRule>
    <cfRule type="cellIs" dxfId="22" priority="18" operator="equal">
      <formula>"Yes"</formula>
    </cfRule>
  </conditionalFormatting>
  <conditionalFormatting sqref="F9:I9">
    <cfRule type="cellIs" dxfId="21" priority="15" operator="equal">
      <formula>"x"</formula>
    </cfRule>
  </conditionalFormatting>
  <conditionalFormatting sqref="F30:I30">
    <cfRule type="cellIs" dxfId="20" priority="14" operator="equal">
      <formula>"x"</formula>
    </cfRule>
  </conditionalFormatting>
  <conditionalFormatting sqref="B39">
    <cfRule type="cellIs" dxfId="19" priority="12" operator="equal">
      <formula>"No"</formula>
    </cfRule>
    <cfRule type="cellIs" dxfId="18" priority="13" operator="equal">
      <formula>"Yes"</formula>
    </cfRule>
  </conditionalFormatting>
  <conditionalFormatting sqref="B43:B44">
    <cfRule type="cellIs" dxfId="17" priority="8" operator="equal">
      <formula>"No"</formula>
    </cfRule>
    <cfRule type="cellIs" dxfId="16" priority="9" operator="equal">
      <formula>"Yes"</formula>
    </cfRule>
  </conditionalFormatting>
  <conditionalFormatting sqref="F38:I38">
    <cfRule type="cellIs" dxfId="15" priority="7" operator="equal">
      <formula>"x"</formula>
    </cfRule>
  </conditionalFormatting>
  <conditionalFormatting sqref="F26:H26">
    <cfRule type="cellIs" dxfId="14" priority="6" operator="equal">
      <formula>"x"</formula>
    </cfRule>
  </conditionalFormatting>
  <conditionalFormatting sqref="F26:H26">
    <cfRule type="cellIs" dxfId="13" priority="5" operator="equal">
      <formula>"x"</formula>
    </cfRule>
  </conditionalFormatting>
  <conditionalFormatting sqref="B27">
    <cfRule type="cellIs" dxfId="12" priority="3" operator="equal">
      <formula>"No"</formula>
    </cfRule>
    <cfRule type="cellIs" dxfId="11" priority="4" operator="equal">
      <formula>"Yes"</formula>
    </cfRule>
  </conditionalFormatting>
  <conditionalFormatting sqref="B45">
    <cfRule type="cellIs" dxfId="10" priority="1" operator="equal">
      <formula>"No"</formula>
    </cfRule>
    <cfRule type="cellIs" dxfId="9" priority="2" operator="equal">
      <formula>"Yes"</formula>
    </cfRule>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251F6-486A-4D1F-B8F8-BC57C3A5C775}">
  <sheetPr codeName="Sheet4"/>
  <dimension ref="A1:G52"/>
  <sheetViews>
    <sheetView workbookViewId="0">
      <selection activeCell="G2" sqref="G2"/>
    </sheetView>
  </sheetViews>
  <sheetFormatPr defaultRowHeight="15" x14ac:dyDescent="0.25"/>
  <cols>
    <col min="1" max="1" width="21.85546875" bestFit="1" customWidth="1"/>
    <col min="2" max="7" width="10.28515625" customWidth="1"/>
  </cols>
  <sheetData>
    <row r="1" spans="1:7" ht="60" customHeight="1" x14ac:dyDescent="0.25">
      <c r="A1" s="6" t="s">
        <v>22</v>
      </c>
      <c r="B1" s="6" t="s">
        <v>142</v>
      </c>
      <c r="C1" s="6" t="s">
        <v>23</v>
      </c>
      <c r="D1" s="6" t="s">
        <v>24</v>
      </c>
      <c r="E1" s="6" t="s">
        <v>161</v>
      </c>
      <c r="F1" s="6" t="s">
        <v>162</v>
      </c>
      <c r="G1" s="6" t="s">
        <v>25</v>
      </c>
    </row>
    <row r="2" spans="1:7" x14ac:dyDescent="0.25">
      <c r="A2" s="4" t="s">
        <v>40</v>
      </c>
      <c r="B2" s="4" t="s">
        <v>41</v>
      </c>
      <c r="C2" s="4">
        <v>4.0999999999999996</v>
      </c>
      <c r="D2" s="4">
        <v>26</v>
      </c>
      <c r="E2" s="4">
        <v>265</v>
      </c>
      <c r="F2" s="4"/>
      <c r="G2" s="4">
        <v>265</v>
      </c>
    </row>
    <row r="3" spans="1:7" x14ac:dyDescent="0.25">
      <c r="A3" s="4" t="s">
        <v>42</v>
      </c>
      <c r="B3" s="4" t="s">
        <v>43</v>
      </c>
      <c r="C3" s="4">
        <v>7.1</v>
      </c>
      <c r="D3" s="4">
        <v>26</v>
      </c>
      <c r="E3" s="4">
        <v>370</v>
      </c>
      <c r="F3" s="4">
        <v>72</v>
      </c>
      <c r="G3" s="4">
        <v>442</v>
      </c>
    </row>
    <row r="4" spans="1:7" x14ac:dyDescent="0.25">
      <c r="A4" s="4" t="s">
        <v>44</v>
      </c>
      <c r="B4" s="4" t="s">
        <v>45</v>
      </c>
      <c r="C4" s="4">
        <v>4.7</v>
      </c>
      <c r="D4" s="4">
        <v>26</v>
      </c>
      <c r="E4" s="4">
        <v>240</v>
      </c>
      <c r="F4" s="4"/>
      <c r="G4" s="4">
        <v>240</v>
      </c>
    </row>
    <row r="5" spans="1:7" x14ac:dyDescent="0.25">
      <c r="A5" s="4" t="s">
        <v>46</v>
      </c>
      <c r="B5" s="4" t="s">
        <v>47</v>
      </c>
      <c r="C5" s="4">
        <v>3.8</v>
      </c>
      <c r="D5" s="4">
        <v>20</v>
      </c>
      <c r="E5" s="4">
        <v>451</v>
      </c>
      <c r="F5" s="4"/>
      <c r="G5" s="4">
        <v>451</v>
      </c>
    </row>
    <row r="6" spans="1:7" x14ac:dyDescent="0.25">
      <c r="A6" s="4" t="s">
        <v>48</v>
      </c>
      <c r="B6" s="4" t="s">
        <v>49</v>
      </c>
      <c r="C6" s="4">
        <v>4.2</v>
      </c>
      <c r="D6" s="4">
        <v>26</v>
      </c>
      <c r="E6" s="4">
        <v>450</v>
      </c>
      <c r="F6" s="4"/>
      <c r="G6" s="4">
        <v>450</v>
      </c>
    </row>
    <row r="7" spans="1:7" x14ac:dyDescent="0.25">
      <c r="A7" s="4" t="s">
        <v>50</v>
      </c>
      <c r="B7" s="4" t="s">
        <v>51</v>
      </c>
      <c r="C7" s="4">
        <v>2.7</v>
      </c>
      <c r="D7" s="4">
        <v>26</v>
      </c>
      <c r="E7" s="4">
        <v>597</v>
      </c>
      <c r="F7" s="4"/>
      <c r="G7" s="4">
        <v>597</v>
      </c>
    </row>
    <row r="8" spans="1:7" x14ac:dyDescent="0.25">
      <c r="A8" s="4" t="s">
        <v>52</v>
      </c>
      <c r="B8" s="4" t="s">
        <v>53</v>
      </c>
      <c r="C8" s="4">
        <v>4.4000000000000004</v>
      </c>
      <c r="D8" s="4">
        <v>26</v>
      </c>
      <c r="E8" s="4">
        <v>631</v>
      </c>
      <c r="F8" s="4">
        <v>75</v>
      </c>
      <c r="G8" s="4">
        <v>706</v>
      </c>
    </row>
    <row r="9" spans="1:7" x14ac:dyDescent="0.25">
      <c r="A9" s="4" t="s">
        <v>54</v>
      </c>
      <c r="B9" s="4" t="s">
        <v>55</v>
      </c>
      <c r="C9" s="4">
        <v>3.9</v>
      </c>
      <c r="D9" s="4">
        <v>26</v>
      </c>
      <c r="E9" s="4">
        <v>330</v>
      </c>
      <c r="F9" s="4"/>
      <c r="G9" s="4">
        <v>330</v>
      </c>
    </row>
    <row r="10" spans="1:7" x14ac:dyDescent="0.25">
      <c r="A10" s="4" t="s">
        <v>56</v>
      </c>
      <c r="B10" s="4" t="s">
        <v>57</v>
      </c>
      <c r="C10" s="4">
        <v>5.6</v>
      </c>
      <c r="D10" s="4">
        <v>26</v>
      </c>
      <c r="E10" s="4">
        <v>425</v>
      </c>
      <c r="F10" s="4"/>
      <c r="G10" s="4">
        <v>425</v>
      </c>
    </row>
    <row r="11" spans="1:7" x14ac:dyDescent="0.25">
      <c r="A11" s="4" t="s">
        <v>58</v>
      </c>
      <c r="B11" s="4" t="s">
        <v>59</v>
      </c>
      <c r="C11" s="4">
        <v>3.8</v>
      </c>
      <c r="D11" s="4">
        <v>12</v>
      </c>
      <c r="E11" s="4">
        <v>275</v>
      </c>
      <c r="F11" s="4"/>
      <c r="G11" s="4">
        <v>275</v>
      </c>
    </row>
    <row r="12" spans="1:7" x14ac:dyDescent="0.25">
      <c r="A12" s="4" t="s">
        <v>60</v>
      </c>
      <c r="B12" s="4" t="s">
        <v>61</v>
      </c>
      <c r="C12" s="4">
        <v>4.0999999999999996</v>
      </c>
      <c r="D12" s="4">
        <v>14</v>
      </c>
      <c r="E12" s="4">
        <v>330</v>
      </c>
      <c r="F12" s="4"/>
      <c r="G12" s="4">
        <v>330</v>
      </c>
    </row>
    <row r="13" spans="1:7" x14ac:dyDescent="0.25">
      <c r="A13" s="4" t="s">
        <v>62</v>
      </c>
      <c r="B13" s="4" t="s">
        <v>63</v>
      </c>
      <c r="C13" s="4">
        <v>2.1</v>
      </c>
      <c r="D13" s="4">
        <v>26</v>
      </c>
      <c r="E13" s="4">
        <v>630</v>
      </c>
      <c r="F13" s="4"/>
      <c r="G13" s="4">
        <v>630</v>
      </c>
    </row>
    <row r="14" spans="1:7" x14ac:dyDescent="0.25">
      <c r="A14" s="4" t="s">
        <v>64</v>
      </c>
      <c r="B14" s="4" t="s">
        <v>65</v>
      </c>
      <c r="C14" s="4">
        <v>2.9</v>
      </c>
      <c r="D14" s="4">
        <v>21</v>
      </c>
      <c r="E14" s="4">
        <v>405</v>
      </c>
      <c r="F14" s="4"/>
      <c r="G14" s="4">
        <v>405</v>
      </c>
    </row>
    <row r="15" spans="1:7" x14ac:dyDescent="0.25">
      <c r="A15" s="4" t="s">
        <v>66</v>
      </c>
      <c r="B15" s="4" t="s">
        <v>67</v>
      </c>
      <c r="C15" s="4">
        <v>4.3</v>
      </c>
      <c r="D15" s="4">
        <v>26</v>
      </c>
      <c r="E15" s="4">
        <v>648</v>
      </c>
      <c r="F15" s="4">
        <v>170</v>
      </c>
      <c r="G15" s="4">
        <v>1495</v>
      </c>
    </row>
    <row r="16" spans="1:7" x14ac:dyDescent="0.25">
      <c r="A16" s="4" t="s">
        <v>68</v>
      </c>
      <c r="B16" s="4" t="s">
        <v>69</v>
      </c>
      <c r="C16" s="4">
        <v>3.3</v>
      </c>
      <c r="D16" s="4">
        <v>26</v>
      </c>
      <c r="E16" s="4">
        <v>390</v>
      </c>
      <c r="F16" s="4"/>
      <c r="G16" s="4">
        <v>390</v>
      </c>
    </row>
    <row r="17" spans="1:7" x14ac:dyDescent="0.25">
      <c r="A17" s="4" t="s">
        <v>70</v>
      </c>
      <c r="B17" s="4" t="s">
        <v>71</v>
      </c>
      <c r="C17" s="4">
        <v>2.7</v>
      </c>
      <c r="D17" s="4">
        <v>26</v>
      </c>
      <c r="E17" s="4">
        <v>573</v>
      </c>
      <c r="F17" s="4">
        <v>104</v>
      </c>
      <c r="G17" s="4">
        <v>677</v>
      </c>
    </row>
    <row r="18" spans="1:7" x14ac:dyDescent="0.25">
      <c r="A18" s="4" t="s">
        <v>72</v>
      </c>
      <c r="B18" s="4" t="s">
        <v>73</v>
      </c>
      <c r="C18" s="4">
        <v>3.4</v>
      </c>
      <c r="D18" s="4">
        <v>16</v>
      </c>
      <c r="E18" s="4">
        <v>474</v>
      </c>
      <c r="F18" s="4"/>
      <c r="G18" s="4">
        <v>474</v>
      </c>
    </row>
    <row r="19" spans="1:7" x14ac:dyDescent="0.25">
      <c r="A19" s="4" t="s">
        <v>74</v>
      </c>
      <c r="B19" s="4" t="s">
        <v>75</v>
      </c>
      <c r="C19" s="4">
        <v>4.2</v>
      </c>
      <c r="D19" s="4">
        <v>26</v>
      </c>
      <c r="E19" s="4">
        <v>502</v>
      </c>
      <c r="F19" s="4"/>
      <c r="G19" s="4">
        <v>502</v>
      </c>
    </row>
    <row r="20" spans="1:7" x14ac:dyDescent="0.25">
      <c r="A20" s="4" t="s">
        <v>76</v>
      </c>
      <c r="B20" s="4" t="s">
        <v>77</v>
      </c>
      <c r="C20" s="4">
        <v>4.7</v>
      </c>
      <c r="D20" s="4">
        <v>26</v>
      </c>
      <c r="E20" s="4">
        <v>247</v>
      </c>
      <c r="F20" s="4"/>
      <c r="G20" s="4">
        <v>247</v>
      </c>
    </row>
    <row r="21" spans="1:7" x14ac:dyDescent="0.25">
      <c r="A21" s="4" t="s">
        <v>78</v>
      </c>
      <c r="B21" s="4" t="s">
        <v>79</v>
      </c>
      <c r="C21" s="4">
        <v>2.9</v>
      </c>
      <c r="D21" s="4">
        <v>26</v>
      </c>
      <c r="E21" s="4">
        <v>646</v>
      </c>
      <c r="F21" s="4">
        <v>209</v>
      </c>
      <c r="G21" s="4">
        <v>855</v>
      </c>
    </row>
    <row r="22" spans="1:7" x14ac:dyDescent="0.25">
      <c r="A22" s="4" t="s">
        <v>80</v>
      </c>
      <c r="B22" s="4" t="s">
        <v>81</v>
      </c>
      <c r="C22" s="4">
        <v>4.3</v>
      </c>
      <c r="D22" s="4">
        <v>26</v>
      </c>
      <c r="E22" s="4">
        <v>430</v>
      </c>
      <c r="F22" s="4"/>
      <c r="G22" s="4">
        <v>430</v>
      </c>
    </row>
    <row r="23" spans="1:7" x14ac:dyDescent="0.25">
      <c r="A23" s="4" t="s">
        <v>82</v>
      </c>
      <c r="B23" s="4" t="s">
        <v>83</v>
      </c>
      <c r="C23" s="4">
        <v>3.5</v>
      </c>
      <c r="D23" s="4">
        <v>30</v>
      </c>
      <c r="E23" s="4">
        <v>795</v>
      </c>
      <c r="F23" s="4">
        <v>384</v>
      </c>
      <c r="G23" s="4">
        <v>1179</v>
      </c>
    </row>
    <row r="24" spans="1:7" x14ac:dyDescent="0.25">
      <c r="A24" s="4" t="s">
        <v>84</v>
      </c>
      <c r="B24" s="4" t="s">
        <v>85</v>
      </c>
      <c r="C24" s="4">
        <v>4.5</v>
      </c>
      <c r="D24" s="4">
        <v>20</v>
      </c>
      <c r="E24" s="4">
        <v>362</v>
      </c>
      <c r="F24" s="4"/>
      <c r="G24" s="4">
        <v>362</v>
      </c>
    </row>
    <row r="25" spans="1:7" x14ac:dyDescent="0.25">
      <c r="A25" s="4" t="s">
        <v>86</v>
      </c>
      <c r="B25" s="4" t="s">
        <v>87</v>
      </c>
      <c r="C25" s="4">
        <v>3.1</v>
      </c>
      <c r="D25" s="4">
        <v>26</v>
      </c>
      <c r="E25" s="4">
        <v>717</v>
      </c>
      <c r="F25" s="4"/>
      <c r="G25" s="4">
        <v>717</v>
      </c>
    </row>
    <row r="26" spans="1:7" x14ac:dyDescent="0.25">
      <c r="A26" s="4" t="s">
        <v>88</v>
      </c>
      <c r="B26" s="4" t="s">
        <v>89</v>
      </c>
      <c r="C26" s="4">
        <v>4.7</v>
      </c>
      <c r="D26" s="4">
        <v>26</v>
      </c>
      <c r="E26" s="4">
        <v>235</v>
      </c>
      <c r="F26" s="4"/>
      <c r="G26" s="4">
        <v>235</v>
      </c>
    </row>
    <row r="27" spans="1:7" x14ac:dyDescent="0.25">
      <c r="A27" s="4" t="s">
        <v>90</v>
      </c>
      <c r="B27" s="4" t="s">
        <v>91</v>
      </c>
      <c r="C27" s="4">
        <v>3.5</v>
      </c>
      <c r="D27" s="4">
        <v>13</v>
      </c>
      <c r="E27" s="4">
        <v>320</v>
      </c>
      <c r="F27" s="4"/>
      <c r="G27" s="4">
        <v>320</v>
      </c>
    </row>
    <row r="28" spans="1:7" x14ac:dyDescent="0.25">
      <c r="A28" s="4" t="s">
        <v>92</v>
      </c>
      <c r="B28" s="4" t="s">
        <v>93</v>
      </c>
      <c r="C28" s="4">
        <v>3.8</v>
      </c>
      <c r="D28" s="4">
        <v>28</v>
      </c>
      <c r="E28" s="4">
        <v>487</v>
      </c>
      <c r="F28" s="4"/>
      <c r="G28" s="4">
        <v>487</v>
      </c>
    </row>
    <row r="29" spans="1:7" x14ac:dyDescent="0.25">
      <c r="A29" s="4" t="s">
        <v>94</v>
      </c>
      <c r="B29" s="4" t="s">
        <v>95</v>
      </c>
      <c r="C29" s="4">
        <v>2.7</v>
      </c>
      <c r="D29" s="4">
        <v>26</v>
      </c>
      <c r="E29" s="4">
        <v>426</v>
      </c>
      <c r="F29" s="4"/>
      <c r="G29" s="4">
        <v>426</v>
      </c>
    </row>
    <row r="30" spans="1:7" x14ac:dyDescent="0.25">
      <c r="A30" s="4" t="s">
        <v>96</v>
      </c>
      <c r="B30" s="4" t="s">
        <v>97</v>
      </c>
      <c r="C30" s="4">
        <v>4.7</v>
      </c>
      <c r="D30" s="4">
        <v>26</v>
      </c>
      <c r="E30" s="4">
        <v>407</v>
      </c>
      <c r="F30" s="4"/>
      <c r="G30" s="4">
        <v>407</v>
      </c>
    </row>
    <row r="31" spans="1:7" x14ac:dyDescent="0.25">
      <c r="A31" s="4" t="s">
        <v>98</v>
      </c>
      <c r="B31" s="4" t="s">
        <v>99</v>
      </c>
      <c r="C31" s="4">
        <v>2.7</v>
      </c>
      <c r="D31" s="4">
        <v>26</v>
      </c>
      <c r="E31" s="4">
        <v>427</v>
      </c>
      <c r="F31" s="4"/>
      <c r="G31" s="4">
        <v>427</v>
      </c>
    </row>
    <row r="32" spans="1:7" x14ac:dyDescent="0.25">
      <c r="A32" s="4" t="s">
        <v>100</v>
      </c>
      <c r="B32" s="4" t="s">
        <v>101</v>
      </c>
      <c r="C32" s="4">
        <v>4.9000000000000004</v>
      </c>
      <c r="D32" s="4">
        <v>26</v>
      </c>
      <c r="E32" s="4">
        <v>696</v>
      </c>
      <c r="F32" s="4"/>
      <c r="G32" s="4">
        <v>696</v>
      </c>
    </row>
    <row r="33" spans="1:7" x14ac:dyDescent="0.25">
      <c r="A33" s="4" t="s">
        <v>102</v>
      </c>
      <c r="B33" s="4" t="s">
        <v>103</v>
      </c>
      <c r="C33" s="4">
        <v>4.9000000000000004</v>
      </c>
      <c r="D33" s="4">
        <v>26</v>
      </c>
      <c r="E33" s="4">
        <v>442</v>
      </c>
      <c r="F33" s="4">
        <v>50</v>
      </c>
      <c r="G33" s="4">
        <v>492</v>
      </c>
    </row>
    <row r="34" spans="1:7" x14ac:dyDescent="0.25">
      <c r="A34" s="4" t="s">
        <v>104</v>
      </c>
      <c r="B34" s="4" t="s">
        <v>105</v>
      </c>
      <c r="C34" s="4">
        <v>4.5</v>
      </c>
      <c r="D34" s="4">
        <v>26</v>
      </c>
      <c r="E34" s="4">
        <v>435</v>
      </c>
      <c r="F34" s="4"/>
      <c r="G34" s="4">
        <v>435</v>
      </c>
    </row>
    <row r="35" spans="1:7" x14ac:dyDescent="0.25">
      <c r="A35" s="4" t="s">
        <v>106</v>
      </c>
      <c r="B35" s="4" t="s">
        <v>107</v>
      </c>
      <c r="C35" s="4">
        <v>4.2</v>
      </c>
      <c r="D35" s="4">
        <v>12</v>
      </c>
      <c r="E35" s="4">
        <v>350</v>
      </c>
      <c r="F35" s="4"/>
      <c r="G35" s="4">
        <v>350</v>
      </c>
    </row>
    <row r="36" spans="1:7" x14ac:dyDescent="0.25">
      <c r="A36" s="4" t="s">
        <v>108</v>
      </c>
      <c r="B36" s="4" t="s">
        <v>109</v>
      </c>
      <c r="C36" s="4">
        <v>2.6</v>
      </c>
      <c r="D36" s="4">
        <v>26</v>
      </c>
      <c r="E36" s="4">
        <v>595</v>
      </c>
      <c r="F36" s="4"/>
      <c r="G36" s="4">
        <v>595</v>
      </c>
    </row>
    <row r="37" spans="1:7" x14ac:dyDescent="0.25">
      <c r="A37" s="4" t="s">
        <v>110</v>
      </c>
      <c r="B37" s="4" t="s">
        <v>111</v>
      </c>
      <c r="C37" s="4">
        <v>4.5</v>
      </c>
      <c r="D37" s="4">
        <v>26</v>
      </c>
      <c r="E37" s="4">
        <v>598</v>
      </c>
      <c r="F37" s="4">
        <v>155</v>
      </c>
      <c r="G37" s="4">
        <v>753</v>
      </c>
    </row>
    <row r="38" spans="1:7" x14ac:dyDescent="0.25">
      <c r="A38" s="4" t="s">
        <v>112</v>
      </c>
      <c r="B38" s="4" t="s">
        <v>113</v>
      </c>
      <c r="C38" s="4">
        <v>3.9</v>
      </c>
      <c r="D38" s="4">
        <v>26</v>
      </c>
      <c r="E38" s="4">
        <v>520</v>
      </c>
      <c r="F38" s="4"/>
      <c r="G38" s="4">
        <v>520</v>
      </c>
    </row>
    <row r="39" spans="1:7" x14ac:dyDescent="0.25">
      <c r="A39" s="4" t="s">
        <v>114</v>
      </c>
      <c r="B39" s="4" t="s">
        <v>115</v>
      </c>
      <c r="C39" s="4">
        <v>4</v>
      </c>
      <c r="D39" s="4">
        <v>26</v>
      </c>
      <c r="E39" s="4">
        <v>538</v>
      </c>
      <c r="F39" s="4"/>
      <c r="G39" s="4">
        <v>538</v>
      </c>
    </row>
    <row r="40" spans="1:7" x14ac:dyDescent="0.25">
      <c r="A40" s="4" t="s">
        <v>116</v>
      </c>
      <c r="B40" s="4" t="s">
        <v>117</v>
      </c>
      <c r="C40" s="4">
        <v>4.3</v>
      </c>
      <c r="D40" s="4">
        <v>26</v>
      </c>
      <c r="E40" s="4">
        <v>561</v>
      </c>
      <c r="F40" s="4">
        <v>8</v>
      </c>
      <c r="G40" s="4">
        <v>569</v>
      </c>
    </row>
    <row r="41" spans="1:7" x14ac:dyDescent="0.25">
      <c r="A41" s="4" t="s">
        <v>118</v>
      </c>
      <c r="B41" s="4" t="s">
        <v>119</v>
      </c>
      <c r="C41" s="4">
        <v>4.3</v>
      </c>
      <c r="D41" s="4">
        <v>26</v>
      </c>
      <c r="E41" s="4">
        <v>566</v>
      </c>
      <c r="F41" s="4">
        <v>141</v>
      </c>
      <c r="G41" s="4">
        <v>707</v>
      </c>
    </row>
    <row r="42" spans="1:7" x14ac:dyDescent="0.25">
      <c r="A42" s="4" t="s">
        <v>120</v>
      </c>
      <c r="B42" s="4" t="s">
        <v>121</v>
      </c>
      <c r="C42" s="4">
        <v>3.8</v>
      </c>
      <c r="D42" s="4">
        <v>20</v>
      </c>
      <c r="E42" s="4">
        <v>326</v>
      </c>
      <c r="F42" s="4"/>
      <c r="G42" s="4">
        <v>326</v>
      </c>
    </row>
    <row r="43" spans="1:7" x14ac:dyDescent="0.25">
      <c r="A43" s="4" t="s">
        <v>122</v>
      </c>
      <c r="B43" s="4" t="s">
        <v>123</v>
      </c>
      <c r="C43" s="4">
        <v>3.2</v>
      </c>
      <c r="D43" s="4">
        <v>26</v>
      </c>
      <c r="E43" s="4">
        <v>352</v>
      </c>
      <c r="F43" s="4"/>
      <c r="G43" s="4">
        <v>352</v>
      </c>
    </row>
    <row r="44" spans="1:7" x14ac:dyDescent="0.25">
      <c r="A44" s="4" t="s">
        <v>124</v>
      </c>
      <c r="B44" s="4" t="s">
        <v>125</v>
      </c>
      <c r="C44" s="4">
        <v>3.5</v>
      </c>
      <c r="D44" s="4">
        <v>26</v>
      </c>
      <c r="E44" s="4">
        <v>275</v>
      </c>
      <c r="F44" s="4"/>
      <c r="G44" s="4">
        <v>275</v>
      </c>
    </row>
    <row r="45" spans="1:7" x14ac:dyDescent="0.25">
      <c r="A45" s="4" t="s">
        <v>126</v>
      </c>
      <c r="B45" s="4" t="s">
        <v>127</v>
      </c>
      <c r="C45" s="4">
        <v>4</v>
      </c>
      <c r="D45" s="4">
        <v>26</v>
      </c>
      <c r="E45" s="4">
        <v>507</v>
      </c>
      <c r="F45" s="4"/>
      <c r="G45" s="4">
        <v>507</v>
      </c>
    </row>
    <row r="46" spans="1:7" x14ac:dyDescent="0.25">
      <c r="A46" s="4" t="s">
        <v>128</v>
      </c>
      <c r="B46" s="4" t="s">
        <v>129</v>
      </c>
      <c r="C46" s="4">
        <v>3</v>
      </c>
      <c r="D46" s="4">
        <v>26</v>
      </c>
      <c r="E46" s="4">
        <v>543</v>
      </c>
      <c r="F46" s="4"/>
      <c r="G46" s="4">
        <v>543</v>
      </c>
    </row>
    <row r="47" spans="1:7" x14ac:dyDescent="0.25">
      <c r="A47" s="4" t="s">
        <v>130</v>
      </c>
      <c r="B47" s="4" t="s">
        <v>131</v>
      </c>
      <c r="C47" s="4">
        <v>2.8</v>
      </c>
      <c r="D47" s="4">
        <v>26</v>
      </c>
      <c r="E47" s="4">
        <v>466</v>
      </c>
      <c r="F47" s="4"/>
      <c r="G47" s="4">
        <v>466</v>
      </c>
    </row>
    <row r="48" spans="1:7" x14ac:dyDescent="0.25">
      <c r="A48" s="4" t="s">
        <v>132</v>
      </c>
      <c r="B48" s="4" t="s">
        <v>133</v>
      </c>
      <c r="C48" s="4">
        <v>3.2</v>
      </c>
      <c r="D48" s="4">
        <v>26</v>
      </c>
      <c r="E48" s="4">
        <v>387</v>
      </c>
      <c r="F48" s="4"/>
      <c r="G48" s="4">
        <v>387</v>
      </c>
    </row>
    <row r="49" spans="1:7" x14ac:dyDescent="0.25">
      <c r="A49" s="4" t="s">
        <v>134</v>
      </c>
      <c r="B49" s="4" t="s">
        <v>135</v>
      </c>
      <c r="C49" s="4">
        <v>4.7</v>
      </c>
      <c r="D49" s="4">
        <v>26</v>
      </c>
      <c r="E49" s="4">
        <v>749</v>
      </c>
      <c r="F49" s="4"/>
      <c r="G49" s="4">
        <v>749</v>
      </c>
    </row>
    <row r="50" spans="1:7" x14ac:dyDescent="0.25">
      <c r="A50" s="4" t="s">
        <v>136</v>
      </c>
      <c r="B50" s="4" t="s">
        <v>137</v>
      </c>
      <c r="C50" s="4">
        <v>5.3</v>
      </c>
      <c r="D50" s="4">
        <v>26</v>
      </c>
      <c r="E50" s="4">
        <v>424</v>
      </c>
      <c r="F50" s="4"/>
      <c r="G50" s="4">
        <v>424</v>
      </c>
    </row>
    <row r="51" spans="1:7" x14ac:dyDescent="0.25">
      <c r="A51" s="4" t="s">
        <v>138</v>
      </c>
      <c r="B51" s="4" t="s">
        <v>139</v>
      </c>
      <c r="C51" s="4">
        <v>2.9</v>
      </c>
      <c r="D51" s="4">
        <v>26</v>
      </c>
      <c r="E51" s="4">
        <v>363</v>
      </c>
      <c r="F51" s="4"/>
      <c r="G51" s="4">
        <v>363</v>
      </c>
    </row>
    <row r="52" spans="1:7" x14ac:dyDescent="0.25">
      <c r="A52" s="4" t="s">
        <v>140</v>
      </c>
      <c r="B52" s="4" t="s">
        <v>141</v>
      </c>
      <c r="C52" s="4">
        <v>3.7</v>
      </c>
      <c r="D52" s="4">
        <v>26</v>
      </c>
      <c r="E52" s="4">
        <v>489</v>
      </c>
      <c r="F52" s="4"/>
      <c r="G52" s="4">
        <v>489</v>
      </c>
    </row>
  </sheetData>
  <sheetProtection algorithmName="SHA-512" hashValue="f/pf+od9IeUz6BG/CFX89oAkUg8/WnVoz0yojBRERlAhfZimwnxmDC50Dn6gjHbHU73CcSC6yeCLJWS3JXmbFw==" saltValue="fchEpCs2s4Db2+MlZ7/nGg==" spinCount="100000" sheet="1" objects="1" scenarios="1"/>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1BC56-4F06-4FDA-952C-97BD565890B7}">
  <sheetPr codeName="Sheet5"/>
  <dimension ref="B1:X16"/>
  <sheetViews>
    <sheetView workbookViewId="0">
      <selection activeCell="U3" sqref="U3:W3"/>
    </sheetView>
  </sheetViews>
  <sheetFormatPr defaultRowHeight="15" x14ac:dyDescent="0.25"/>
  <cols>
    <col min="1" max="16384" width="9.140625" style="4"/>
  </cols>
  <sheetData>
    <row r="1" spans="2:24" x14ac:dyDescent="0.25">
      <c r="U1" s="4" t="s">
        <v>0</v>
      </c>
      <c r="V1" s="4" t="s">
        <v>1</v>
      </c>
      <c r="W1" s="4" t="s">
        <v>3</v>
      </c>
      <c r="X1" s="4" t="s">
        <v>2</v>
      </c>
    </row>
    <row r="2" spans="2:24" x14ac:dyDescent="0.25">
      <c r="B2" s="4" t="s">
        <v>167</v>
      </c>
      <c r="U2" s="4" t="s">
        <v>4</v>
      </c>
      <c r="V2" s="4" t="s">
        <v>4</v>
      </c>
    </row>
    <row r="3" spans="2:24" x14ac:dyDescent="0.25">
      <c r="B3" s="4" t="s">
        <v>169</v>
      </c>
      <c r="U3" s="4" t="s">
        <v>4</v>
      </c>
      <c r="V3" s="4" t="s">
        <v>4</v>
      </c>
      <c r="W3" s="4" t="s">
        <v>4</v>
      </c>
    </row>
    <row r="4" spans="2:24" x14ac:dyDescent="0.25">
      <c r="B4" s="4" t="s">
        <v>163</v>
      </c>
      <c r="U4" s="4" t="s">
        <v>4</v>
      </c>
    </row>
    <row r="5" spans="2:24" x14ac:dyDescent="0.25">
      <c r="B5" s="4" t="s">
        <v>164</v>
      </c>
      <c r="V5" s="4" t="s">
        <v>4</v>
      </c>
    </row>
    <row r="6" spans="2:24" x14ac:dyDescent="0.25">
      <c r="B6" s="4" t="s">
        <v>165</v>
      </c>
      <c r="V6" s="4" t="s">
        <v>4</v>
      </c>
    </row>
    <row r="7" spans="2:24" x14ac:dyDescent="0.25">
      <c r="B7" s="4" t="s">
        <v>166</v>
      </c>
      <c r="V7" s="4" t="s">
        <v>4</v>
      </c>
    </row>
    <row r="8" spans="2:24" x14ac:dyDescent="0.25">
      <c r="B8" s="4" t="s">
        <v>170</v>
      </c>
      <c r="W8" s="4" t="s">
        <v>4</v>
      </c>
    </row>
    <row r="9" spans="2:24" x14ac:dyDescent="0.25">
      <c r="B9" s="4" t="s">
        <v>171</v>
      </c>
      <c r="W9" s="4" t="s">
        <v>4</v>
      </c>
    </row>
    <row r="11" spans="2:24" x14ac:dyDescent="0.25">
      <c r="B11" s="4">
        <v>1</v>
      </c>
      <c r="X11" s="4" t="s">
        <v>4</v>
      </c>
    </row>
    <row r="12" spans="2:24" x14ac:dyDescent="0.25">
      <c r="B12" s="4">
        <v>2</v>
      </c>
      <c r="X12" s="4" t="s">
        <v>4</v>
      </c>
    </row>
    <row r="13" spans="2:24" x14ac:dyDescent="0.25">
      <c r="B13" s="4">
        <v>3</v>
      </c>
      <c r="X13" s="4" t="s">
        <v>4</v>
      </c>
    </row>
    <row r="14" spans="2:24" x14ac:dyDescent="0.25">
      <c r="B14" s="4">
        <v>4</v>
      </c>
      <c r="X14" s="4" t="s">
        <v>4</v>
      </c>
    </row>
    <row r="15" spans="2:24" x14ac:dyDescent="0.25">
      <c r="B15" s="4">
        <v>5</v>
      </c>
      <c r="X15" s="4" t="s">
        <v>4</v>
      </c>
    </row>
    <row r="16" spans="2:24" x14ac:dyDescent="0.25">
      <c r="B16" s="4" t="s">
        <v>168</v>
      </c>
      <c r="V16" s="4" t="s">
        <v>4</v>
      </c>
      <c r="W16" s="4" t="s">
        <v>4</v>
      </c>
    </row>
  </sheetData>
  <sheetProtection algorithmName="SHA-512" hashValue="VX97ZPtTf0Rbf/P27PINZMYFOpNFD4j5Tj8pUPer7gDNFO7KpdzM+BFqj1be92R9Qcynb7MitLnbayxGZAKOnw==" saltValue="yikzTYMw7vAIUbEJbsYEU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73E040C8D1CD345B13B4FDE7A14C0E3" ma:contentTypeVersion="12" ma:contentTypeDescription="Create a new document." ma:contentTypeScope="" ma:versionID="87d63c29a91e9ddfcce468a0a564a1e0">
  <xsd:schema xmlns:xsd="http://www.w3.org/2001/XMLSchema" xmlns:xs="http://www.w3.org/2001/XMLSchema" xmlns:p="http://schemas.microsoft.com/office/2006/metadata/properties" xmlns:ns1="http://schemas.microsoft.com/sharepoint/v3" xmlns:ns3="b4bb7234-3767-417b-8069-110e3347921a" targetNamespace="http://schemas.microsoft.com/office/2006/metadata/properties" ma:root="true" ma:fieldsID="5beda0f9cf980d892f6467fd8f30e4f0" ns1:_="" ns3:_="">
    <xsd:import namespace="http://schemas.microsoft.com/sharepoint/v3"/>
    <xsd:import namespace="b4bb7234-3767-417b-8069-110e3347921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bb7234-3767-417b-8069-110e334792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D08F9DD-725F-40E0-8D65-3B1D1C087EBE}">
  <ds:schemaRefs>
    <ds:schemaRef ds:uri="http://schemas.microsoft.com/sharepoint/v3/contenttype/forms"/>
  </ds:schemaRefs>
</ds:datastoreItem>
</file>

<file path=customXml/itemProps2.xml><?xml version="1.0" encoding="utf-8"?>
<ds:datastoreItem xmlns:ds="http://schemas.openxmlformats.org/officeDocument/2006/customXml" ds:itemID="{27875ED2-CAC8-4104-8116-FEBD79ECBC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4bb7234-3767-417b-8069-110e334792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7A2B0B-3520-4B23-8CBE-3DB7B5EB84B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b4bb7234-3767-417b-8069-110e3347921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63</vt:i4>
      </vt:variant>
    </vt:vector>
  </HeadingPairs>
  <TitlesOfParts>
    <vt:vector size="68" baseType="lpstr">
      <vt:lpstr>Questionnaire</vt:lpstr>
      <vt:lpstr>Analysis</vt:lpstr>
      <vt:lpstr>Calculations</vt:lpstr>
      <vt:lpstr>Lookups</vt:lpstr>
      <vt:lpstr>Extra</vt:lpstr>
      <vt:lpstr>AverageMonthlyGrossPayrollExpense</vt:lpstr>
      <vt:lpstr>AverageMonthlySalaryOfImpacted</vt:lpstr>
      <vt:lpstr>CompanyName</vt:lpstr>
      <vt:lpstr>CountNotComplete</vt:lpstr>
      <vt:lpstr>DentalInsurance</vt:lpstr>
      <vt:lpstr>EmployeesContinuingToPay</vt:lpstr>
      <vt:lpstr>EmployeesNotInService</vt:lpstr>
      <vt:lpstr>ERC_Eligible</vt:lpstr>
      <vt:lpstr>ERC_HasGT100</vt:lpstr>
      <vt:lpstr>ERC_IfHasGT100</vt:lpstr>
      <vt:lpstr>ERC_IfHasLT100</vt:lpstr>
      <vt:lpstr>ERC_MaxCreditAmount</vt:lpstr>
      <vt:lpstr>ERC_MonthlyCostToMaintainEmployees</vt:lpstr>
      <vt:lpstr>ERC_MonthlyCreditAmount</vt:lpstr>
      <vt:lpstr>FFRC_CostToMaintainEmployees</vt:lpstr>
      <vt:lpstr>FFRC_Eligible</vt:lpstr>
      <vt:lpstr>FFRC_FMLAMaxPayCredit</vt:lpstr>
      <vt:lpstr>FFRC_MonthlyMaxFMLAPayCredit</vt:lpstr>
      <vt:lpstr>FFRC_MonthlyMaxSickLeavePayCredit</vt:lpstr>
      <vt:lpstr>FFRC_SickLeaveMaxPayCredit</vt:lpstr>
      <vt:lpstr>ForeignWages</vt:lpstr>
      <vt:lpstr>GrossReceiptsDeclined</vt:lpstr>
      <vt:lpstr>GroupHealthCare</vt:lpstr>
      <vt:lpstr>IsComplete</vt:lpstr>
      <vt:lpstr>IsRestaurant</vt:lpstr>
      <vt:lpstr>LineFeed</vt:lpstr>
      <vt:lpstr>MessageComplete</vt:lpstr>
      <vt:lpstr>MessageNotComplete</vt:lpstr>
      <vt:lpstr>NumberOfEmployees</vt:lpstr>
      <vt:lpstr>NumberOfEmployeesCaring</vt:lpstr>
      <vt:lpstr>NumberOfEmployeesFMLA</vt:lpstr>
      <vt:lpstr>NumberOfEmployeesSick</vt:lpstr>
      <vt:lpstr>NumberOfFullTimeEmployeesGT100</vt:lpstr>
      <vt:lpstr>OperationsSuspended</vt:lpstr>
      <vt:lpstr>Payroll</vt:lpstr>
      <vt:lpstr>PTP_Eligible</vt:lpstr>
      <vt:lpstr>PTP_MaximumMonthlyPayrollTaxDeferral</vt:lpstr>
      <vt:lpstr>QualifiedFFCRAWages</vt:lpstr>
      <vt:lpstr>SALTAssessed</vt:lpstr>
      <vt:lpstr>SBA_AverageMonthlyPayrollSBA</vt:lpstr>
      <vt:lpstr>SBA_LoanEligible</vt:lpstr>
      <vt:lpstr>SBA_MaxLoanAmount</vt:lpstr>
      <vt:lpstr>SBA_PayrollAdjusted</vt:lpstr>
      <vt:lpstr>State1</vt:lpstr>
      <vt:lpstr>State2</vt:lpstr>
      <vt:lpstr>State3</vt:lpstr>
      <vt:lpstr>State4</vt:lpstr>
      <vt:lpstr>State5</vt:lpstr>
      <vt:lpstr>Subcontractors</vt:lpstr>
      <vt:lpstr>UI_State1</vt:lpstr>
      <vt:lpstr>UI_State1Value</vt:lpstr>
      <vt:lpstr>UI_State2</vt:lpstr>
      <vt:lpstr>UI_State2Value</vt:lpstr>
      <vt:lpstr>UI_State3</vt:lpstr>
      <vt:lpstr>UI_State3Value</vt:lpstr>
      <vt:lpstr>UI_State4</vt:lpstr>
      <vt:lpstr>UI_State4Value</vt:lpstr>
      <vt:lpstr>UI_State5</vt:lpstr>
      <vt:lpstr>UI_State5Value</vt:lpstr>
      <vt:lpstr>Version</vt:lpstr>
      <vt:lpstr>VersionText</vt:lpstr>
      <vt:lpstr>WagesOver100K</vt:lpstr>
      <vt:lpstr>WorkersCompInsurance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Business Relief Analysis</dc:title>
  <dc:creator>Patrick Handel</dc:creator>
  <cp:lastModifiedBy>Shawn Blom</cp:lastModifiedBy>
  <cp:lastPrinted>2020-04-01T13:13:32Z</cp:lastPrinted>
  <dcterms:created xsi:type="dcterms:W3CDTF">2020-03-29T18:08:33Z</dcterms:created>
  <dcterms:modified xsi:type="dcterms:W3CDTF">2020-04-03T02:58:31Z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0x010100B73E040C8D1CD345B13B4FDE7A14C0E3</vt:lpwstr>
  </property>
  <property fmtid="{D5CDD505-2E9C-101B-9397-08002B2CF9AE}" pid="3" name="Author0">
    <vt:lpwstr/>
  </property>
</Properties>
</file>